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showInkAnnotation="0" autoCompressPictures="0"/>
  <mc:AlternateContent xmlns:mc="http://schemas.openxmlformats.org/markup-compatibility/2006">
    <mc:Choice Requires="x15">
      <x15ac:absPath xmlns:x15ac="http://schemas.microsoft.com/office/spreadsheetml/2010/11/ac" url="/Users/tove/Documents/Kurser/Skoleårets planlægning/2019-2020/Arbtid19-10/"/>
    </mc:Choice>
  </mc:AlternateContent>
  <xr:revisionPtr revIDLastSave="0" documentId="13_ncr:1_{65917CBC-8412-C54F-A6B6-C92E15D440AC}" xr6:coauthVersionLast="43" xr6:coauthVersionMax="43" xr10:uidLastSave="{00000000-0000-0000-0000-000000000000}"/>
  <workbookProtection lockStructure="1"/>
  <bookViews>
    <workbookView xWindow="0" yWindow="460" windowWidth="28100" windowHeight="17540" tabRatio="500" activeTab="1" xr2:uid="{00000000-000D-0000-FFFF-FFFF00000000}"/>
  </bookViews>
  <sheets>
    <sheet name="Vejledning2019" sheetId="21" r:id="rId1"/>
    <sheet name="Maaned" sheetId="22" r:id="rId2"/>
    <sheet name="Aar" sheetId="23" r:id="rId3"/>
    <sheet name="1.halvaar" sheetId="24" r:id="rId4"/>
    <sheet name="2.halvaar" sheetId="25" r:id="rId5"/>
    <sheet name="Vejledning til arb.tidsoversigt" sheetId="20" state="hidden" r:id="rId6"/>
    <sheet name="Arbejdstidsoversigt" sheetId="1" r:id="rId7"/>
    <sheet name="Mødeplan" sheetId="6" r:id="rId8"/>
    <sheet name="Opgaveoversigt" sheetId="2" state="hidden" r:id="rId9"/>
    <sheet name="Aften-weekendtillæg" sheetId="5" state="hidden" r:id="rId10"/>
    <sheet name="Ulempe-weekendtillæg" sheetId="8" r:id="rId11"/>
    <sheet name="TOMT ÅR" sheetId="37" r:id="rId12"/>
    <sheet name="TOMT 1. HALVÅR" sheetId="38" r:id="rId13"/>
    <sheet name="TOMT 2. HALVÅR" sheetId="39" r:id="rId14"/>
  </sheets>
  <externalReferences>
    <externalReference r:id="rId15"/>
    <externalReference r:id="rId16"/>
  </externalReferences>
  <definedNames>
    <definedName name="_xlnm._FilterDatabase" localSheetId="7" hidden="1">Mødeplan!$B$4:$J$13</definedName>
    <definedName name="_xlnm._FilterDatabase" localSheetId="1" hidden="1">Maaned!$A$1:$CJ$46</definedName>
    <definedName name="april" localSheetId="1">Maaned!$BH$5:$BH$34</definedName>
    <definedName name="april">[1]Maaned!$AR$5:$AR$34</definedName>
    <definedName name="august" localSheetId="1">Maaned!$D$5:$D$35</definedName>
    <definedName name="dagapr">[1]Maaned!$AQ$5:$AQ$34</definedName>
    <definedName name="dagaug">[1]Maaned!$C$5:$C$35</definedName>
    <definedName name="dagdec">[1]Maaned!$W$5:$W$35</definedName>
    <definedName name="dagfeb">[1]Maaned!$AG$5:$AG$33</definedName>
    <definedName name="dagjan">[1]Maaned!$AB$5:$AB$35</definedName>
    <definedName name="dagjul">[1]Maaned!$BF$5:$BF$35</definedName>
    <definedName name="dagjun">[1]Maaned!$BA$5:$BA$34</definedName>
    <definedName name="dagmaj">[1]Maaned!$AV$5:$AV$35</definedName>
    <definedName name="dagmar">[1]Maaned!$AL$5:$AL$35</definedName>
    <definedName name="dagnov">[1]Maaned!$R$5:$R$34</definedName>
    <definedName name="dagokt">[1]Maaned!$M$5:$M$35</definedName>
    <definedName name="dagsep">[1]Maaned!$H$5:$H$34</definedName>
    <definedName name="december" localSheetId="1">Maaned!$AF$5:$AF$35</definedName>
    <definedName name="februar" localSheetId="1">Maaned!$AT$5:$AT$33</definedName>
    <definedName name="fridageGrå" localSheetId="2">Aar!fridageGrå</definedName>
    <definedName name="fridageGrå">[0]!fridageGrå</definedName>
    <definedName name="januar" localSheetId="1">Maaned!$AM$5:$AM$35</definedName>
    <definedName name="juli" localSheetId="1">Maaned!$CC$5:$CC$35</definedName>
    <definedName name="juni" localSheetId="1">Maaned!$BV$5:$BV$34</definedName>
    <definedName name="maj" localSheetId="1">Maaned!$BO$5:$BO$35</definedName>
    <definedName name="marts" localSheetId="1">Maaned!$BA$5:$BA$35</definedName>
    <definedName name="november" localSheetId="1">Maaned!$Y$5:$Y$34</definedName>
    <definedName name="oktober" localSheetId="1">Maaned!$R$5:$R$35</definedName>
    <definedName name="september" localSheetId="1">Maaned!$K$5:$K$34</definedName>
    <definedName name="skolenavn">#REF!</definedName>
    <definedName name="_xlnm.Print_Area" localSheetId="3">'1.halvaar'!$A$1:$AD$41</definedName>
    <definedName name="_xlnm.Print_Area" localSheetId="4">'2.halvaar'!$A$1:$AD$40</definedName>
    <definedName name="_xlnm.Print_Area" localSheetId="6">Arbejdstidsoversigt!$A$1:$Q$242</definedName>
    <definedName name="_xlnm.Print_Area" localSheetId="1">Maaned!$B$1:$CK$46</definedName>
    <definedName name="_xlnm.Print_Area" localSheetId="10">'Ulempe-weekendtillæg'!$A$1:$D$32</definedName>
    <definedName name="_xlnm.Print_Area" localSheetId="0">Vejledning2019!$A$1:$A$74</definedName>
    <definedName name="_xlnm.Print_Area" localSheetId="2">Aar!$A$1:$AV$37</definedName>
    <definedName name="Ugenr">[0]!Ugenr</definedName>
    <definedName name="Årstal" localSheetId="1">1996</definedName>
    <definedName name="Årstal" localSheetId="2">1996</definedName>
    <definedName name="årstal">1997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S18" i="25" l="1"/>
  <c r="W15" i="22" l="1"/>
  <c r="K166" i="1" l="1"/>
  <c r="O183" i="1"/>
  <c r="A9" i="21" l="1"/>
  <c r="D22" i="8" l="1"/>
  <c r="A1" i="39"/>
  <c r="A1" i="38"/>
  <c r="H194" i="1"/>
  <c r="H120" i="1"/>
  <c r="L120" i="1" s="1"/>
  <c r="H129" i="1"/>
  <c r="L129" i="1" s="1"/>
  <c r="I129" i="1"/>
  <c r="H130" i="1"/>
  <c r="L130" i="1" s="1"/>
  <c r="I130" i="1"/>
  <c r="H131" i="1"/>
  <c r="L131" i="1" s="1"/>
  <c r="I131" i="1"/>
  <c r="H132" i="1"/>
  <c r="L132" i="1" s="1"/>
  <c r="I132" i="1"/>
  <c r="H133" i="1"/>
  <c r="L133" i="1" s="1"/>
  <c r="I133" i="1"/>
  <c r="H134" i="1"/>
  <c r="L134" i="1" s="1"/>
  <c r="I134" i="1"/>
  <c r="H135" i="1"/>
  <c r="L135" i="1" s="1"/>
  <c r="I135" i="1"/>
  <c r="H136" i="1"/>
  <c r="L136" i="1" s="1"/>
  <c r="I136" i="1"/>
  <c r="H137" i="1"/>
  <c r="L137" i="1" s="1"/>
  <c r="I137" i="1"/>
  <c r="H138" i="1"/>
  <c r="L138" i="1" s="1"/>
  <c r="I138" i="1"/>
  <c r="B191" i="1"/>
  <c r="I120" i="1"/>
  <c r="K150" i="1"/>
  <c r="I166" i="1"/>
  <c r="J166" i="1"/>
  <c r="M183" i="1" s="1"/>
  <c r="H195" i="1"/>
  <c r="H196" i="1"/>
  <c r="H197" i="1"/>
  <c r="H198" i="1"/>
  <c r="H199" i="1"/>
  <c r="J88" i="1"/>
  <c r="J92" i="1"/>
  <c r="AA31" i="23"/>
  <c r="E45" i="22"/>
  <c r="L45" i="22"/>
  <c r="S45" i="22"/>
  <c r="Z45" i="22"/>
  <c r="AG45" i="22"/>
  <c r="AN45" i="22"/>
  <c r="AU45" i="22"/>
  <c r="BB45" i="22"/>
  <c r="BI45" i="22"/>
  <c r="BP45" i="22"/>
  <c r="BW45" i="22"/>
  <c r="CD45" i="22"/>
  <c r="E43" i="22"/>
  <c r="L43" i="22"/>
  <c r="S43" i="22"/>
  <c r="Z43" i="22"/>
  <c r="AG43" i="22"/>
  <c r="AN43" i="22"/>
  <c r="AU43" i="22"/>
  <c r="BB43" i="22"/>
  <c r="BI43" i="22"/>
  <c r="BP43" i="22"/>
  <c r="BW43" i="22"/>
  <c r="CD43" i="22"/>
  <c r="CD40" i="22"/>
  <c r="BW40" i="22"/>
  <c r="BP40" i="22"/>
  <c r="BI40" i="22"/>
  <c r="BB40" i="22"/>
  <c r="AU40" i="22"/>
  <c r="AN40" i="22"/>
  <c r="AG40" i="22"/>
  <c r="Z40" i="22"/>
  <c r="L40" i="22"/>
  <c r="E40" i="22"/>
  <c r="S40" i="22"/>
  <c r="CD39" i="22"/>
  <c r="BW39" i="22"/>
  <c r="BP39" i="22"/>
  <c r="BI39" i="22"/>
  <c r="BB39" i="22"/>
  <c r="AU39" i="22"/>
  <c r="AN39" i="22"/>
  <c r="AG39" i="22"/>
  <c r="Z39" i="22"/>
  <c r="L39" i="22"/>
  <c r="E39" i="22"/>
  <c r="S39" i="22"/>
  <c r="CD38" i="22"/>
  <c r="BW38" i="22"/>
  <c r="BP38" i="22"/>
  <c r="BI38" i="22"/>
  <c r="BB38" i="22"/>
  <c r="AU38" i="22"/>
  <c r="AN38" i="22"/>
  <c r="AG38" i="22"/>
  <c r="Z38" i="22"/>
  <c r="L38" i="22"/>
  <c r="E38" i="22"/>
  <c r="S38" i="22"/>
  <c r="CD37" i="22"/>
  <c r="BW37" i="22"/>
  <c r="BP37" i="22"/>
  <c r="BI37" i="22"/>
  <c r="BB37" i="22"/>
  <c r="AU37" i="22"/>
  <c r="AN37" i="22"/>
  <c r="AG37" i="22"/>
  <c r="Z37" i="22"/>
  <c r="L37" i="22"/>
  <c r="E37" i="22"/>
  <c r="S37" i="22"/>
  <c r="CD41" i="22"/>
  <c r="CD42" i="22"/>
  <c r="CD44" i="22"/>
  <c r="BW41" i="22"/>
  <c r="BW42" i="22"/>
  <c r="BW44" i="22"/>
  <c r="BP41" i="22"/>
  <c r="BP42" i="22"/>
  <c r="BP44" i="22"/>
  <c r="BI41" i="22"/>
  <c r="BI42" i="22"/>
  <c r="BI44" i="22"/>
  <c r="BB41" i="22"/>
  <c r="BB42" i="22"/>
  <c r="BB44" i="22"/>
  <c r="AU41" i="22"/>
  <c r="AU42" i="22"/>
  <c r="AU44" i="22"/>
  <c r="AN41" i="22"/>
  <c r="AN42" i="22"/>
  <c r="AN44" i="22"/>
  <c r="AG41" i="22"/>
  <c r="AG42" i="22"/>
  <c r="AG44" i="22"/>
  <c r="Z41" i="22"/>
  <c r="Z42" i="22"/>
  <c r="Z44" i="22"/>
  <c r="L41" i="22"/>
  <c r="L42" i="22"/>
  <c r="L44" i="22"/>
  <c r="E41" i="22"/>
  <c r="E42" i="22"/>
  <c r="E44" i="22"/>
  <c r="S41" i="22"/>
  <c r="S42" i="22"/>
  <c r="S44" i="22"/>
  <c r="B3" i="22"/>
  <c r="I3" i="22" s="1"/>
  <c r="P3" i="22" s="1"/>
  <c r="W3" i="22" s="1"/>
  <c r="CA5" i="22"/>
  <c r="CA6" i="22" s="1"/>
  <c r="CA7" i="22" s="1"/>
  <c r="CA8" i="22" s="1"/>
  <c r="Z6" i="25" s="1"/>
  <c r="BM5" i="22"/>
  <c r="BM6" i="22" s="1"/>
  <c r="BM7" i="22" s="1"/>
  <c r="BM8" i="22" s="1"/>
  <c r="BM9" i="22" s="1"/>
  <c r="BM10" i="22" s="1"/>
  <c r="BM11" i="22" s="1"/>
  <c r="BM12" i="22" s="1"/>
  <c r="BM13" i="22" s="1"/>
  <c r="BM14" i="22" s="1"/>
  <c r="BM15" i="22" s="1"/>
  <c r="BM16" i="22" s="1"/>
  <c r="BM17" i="22" s="1"/>
  <c r="BM18" i="22" s="1"/>
  <c r="BM19" i="22" s="1"/>
  <c r="BM20" i="22" s="1"/>
  <c r="BM21" i="22" s="1"/>
  <c r="BM22" i="22" s="1"/>
  <c r="BM23" i="22" s="1"/>
  <c r="BM24" i="22" s="1"/>
  <c r="BM25" i="22" s="1"/>
  <c r="BM26" i="22" s="1"/>
  <c r="BM27" i="22" s="1"/>
  <c r="BM28" i="22" s="1"/>
  <c r="BM29" i="22" s="1"/>
  <c r="BM30" i="22" s="1"/>
  <c r="BM31" i="22" s="1"/>
  <c r="BM32" i="22" s="1"/>
  <c r="BM33" i="22" s="1"/>
  <c r="BM34" i="22" s="1"/>
  <c r="BM35" i="22" s="1"/>
  <c r="P33" i="25" s="1"/>
  <c r="AY5" i="22"/>
  <c r="AC3" i="23" s="1"/>
  <c r="BT5" i="22"/>
  <c r="BT6" i="22" s="1"/>
  <c r="BT7" i="22" s="1"/>
  <c r="BT8" i="22" s="1"/>
  <c r="BT9" i="22" s="1"/>
  <c r="BT10" i="22" s="1"/>
  <c r="BT11" i="22" s="1"/>
  <c r="BT12" i="22" s="1"/>
  <c r="BT13" i="22" s="1"/>
  <c r="BT14" i="22" s="1"/>
  <c r="AO12" i="23" s="1"/>
  <c r="BF5" i="22"/>
  <c r="BF6" i="22" s="1"/>
  <c r="BF7" i="22" s="1"/>
  <c r="BF8" i="22" s="1"/>
  <c r="BF9" i="22" s="1"/>
  <c r="BF10" i="22" s="1"/>
  <c r="BF11" i="22" s="1"/>
  <c r="AR5" i="22"/>
  <c r="AR6" i="22" s="1"/>
  <c r="AR7" i="22" s="1"/>
  <c r="A5" i="25" s="1"/>
  <c r="AD5" i="22"/>
  <c r="AD6" i="22" s="1"/>
  <c r="Q4" i="23" s="1"/>
  <c r="AD7" i="22"/>
  <c r="U5" i="24" s="1"/>
  <c r="AK5" i="22"/>
  <c r="W5" i="22"/>
  <c r="W6" i="22" s="1"/>
  <c r="P5" i="22"/>
  <c r="I3" i="23" s="1"/>
  <c r="P6" i="22"/>
  <c r="I4" i="23" s="1"/>
  <c r="I5" i="22"/>
  <c r="I6" i="22" s="1"/>
  <c r="F4" i="24" s="1"/>
  <c r="B5" i="22"/>
  <c r="B6" i="22" s="1"/>
  <c r="A4" i="23" s="1"/>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E3" i="1"/>
  <c r="H139" i="1"/>
  <c r="H140" i="1"/>
  <c r="L140" i="1" s="1"/>
  <c r="H141" i="1"/>
  <c r="L141" i="1" s="1"/>
  <c r="H142" i="1"/>
  <c r="L142" i="1" s="1"/>
  <c r="H143" i="1"/>
  <c r="H144" i="1"/>
  <c r="L144" i="1" s="1"/>
  <c r="H145" i="1"/>
  <c r="L145" i="1" s="1"/>
  <c r="H146" i="1"/>
  <c r="L146" i="1" s="1"/>
  <c r="H147" i="1"/>
  <c r="L147" i="1" s="1"/>
  <c r="H148" i="1"/>
  <c r="L148" i="1" s="1"/>
  <c r="H149" i="1"/>
  <c r="L149" i="1" s="1"/>
  <c r="H121" i="1"/>
  <c r="L121" i="1" s="1"/>
  <c r="H122" i="1"/>
  <c r="L122" i="1" s="1"/>
  <c r="H123" i="1"/>
  <c r="L123" i="1" s="1"/>
  <c r="H124" i="1"/>
  <c r="L124" i="1" s="1"/>
  <c r="H125" i="1"/>
  <c r="L125" i="1" s="1"/>
  <c r="H126" i="1"/>
  <c r="H127" i="1"/>
  <c r="L127" i="1" s="1"/>
  <c r="H128" i="1"/>
  <c r="L128" i="1" s="1"/>
  <c r="A100" i="6"/>
  <c r="A101" i="6"/>
  <c r="A102" i="6"/>
  <c r="A103" i="6"/>
  <c r="A104" i="6"/>
  <c r="A105" i="6"/>
  <c r="A106" i="6"/>
  <c r="A107" i="6"/>
  <c r="A108" i="6"/>
  <c r="A109" i="6"/>
  <c r="A110" i="6"/>
  <c r="A111" i="6"/>
  <c r="A112" i="6"/>
  <c r="A113" i="6"/>
  <c r="A114" i="6"/>
  <c r="K167" i="1"/>
  <c r="K168" i="1"/>
  <c r="K169" i="1"/>
  <c r="K170" i="1"/>
  <c r="K171" i="1"/>
  <c r="K172" i="1"/>
  <c r="K173" i="1"/>
  <c r="K174" i="1"/>
  <c r="K179" i="1"/>
  <c r="K180" i="1"/>
  <c r="K181" i="1"/>
  <c r="K182" i="1"/>
  <c r="K175" i="1"/>
  <c r="K176" i="1"/>
  <c r="K177" i="1"/>
  <c r="K178" i="1"/>
  <c r="N183" i="1"/>
  <c r="R175" i="1"/>
  <c r="R176" i="1"/>
  <c r="R177" i="1"/>
  <c r="R178" i="1"/>
  <c r="P175" i="1"/>
  <c r="P176" i="1"/>
  <c r="P177" i="1"/>
  <c r="P178" i="1"/>
  <c r="J167" i="1"/>
  <c r="J168" i="1"/>
  <c r="J169" i="1"/>
  <c r="J170" i="1"/>
  <c r="J171" i="1"/>
  <c r="J172" i="1"/>
  <c r="J173" i="1"/>
  <c r="J174" i="1"/>
  <c r="J179" i="1"/>
  <c r="J180" i="1"/>
  <c r="J181" i="1"/>
  <c r="J182" i="1"/>
  <c r="J175" i="1"/>
  <c r="J176" i="1"/>
  <c r="J177" i="1"/>
  <c r="J178" i="1"/>
  <c r="I167" i="1"/>
  <c r="I168" i="1"/>
  <c r="I169" i="1"/>
  <c r="I170" i="1"/>
  <c r="I171" i="1"/>
  <c r="I172" i="1"/>
  <c r="I173" i="1"/>
  <c r="I174" i="1"/>
  <c r="I179" i="1"/>
  <c r="I180" i="1"/>
  <c r="I181" i="1"/>
  <c r="I182" i="1"/>
  <c r="I175" i="1"/>
  <c r="I176" i="1"/>
  <c r="I177" i="1"/>
  <c r="I178" i="1"/>
  <c r="L183" i="1"/>
  <c r="H100" i="1"/>
  <c r="H101" i="1"/>
  <c r="H102" i="1"/>
  <c r="H103" i="1"/>
  <c r="H104" i="1"/>
  <c r="H105" i="1"/>
  <c r="H106" i="1"/>
  <c r="H107" i="1"/>
  <c r="H108" i="1"/>
  <c r="L126" i="1"/>
  <c r="L139" i="1"/>
  <c r="L143" i="1"/>
  <c r="I121" i="1"/>
  <c r="I122" i="1"/>
  <c r="I124" i="1"/>
  <c r="I125" i="1"/>
  <c r="I126" i="1"/>
  <c r="I127" i="1"/>
  <c r="I128" i="1"/>
  <c r="I149" i="1"/>
  <c r="I123" i="1"/>
  <c r="I139" i="1"/>
  <c r="I140" i="1"/>
  <c r="I141" i="1"/>
  <c r="I142" i="1"/>
  <c r="I143" i="1"/>
  <c r="I144" i="1"/>
  <c r="I145" i="1"/>
  <c r="I146" i="1"/>
  <c r="I147" i="1"/>
  <c r="I148" i="1"/>
  <c r="S120" i="1"/>
  <c r="S149" i="1"/>
  <c r="S166" i="1"/>
  <c r="B161" i="1" s="1"/>
  <c r="S182" i="1"/>
  <c r="I66" i="1"/>
  <c r="I69" i="1"/>
  <c r="F2" i="1"/>
  <c r="E2" i="6" s="1"/>
  <c r="A36" i="25"/>
  <c r="A35" i="24"/>
  <c r="AB4" i="25"/>
  <c r="AC4" i="25"/>
  <c r="Z5" i="25"/>
  <c r="AB5" i="25"/>
  <c r="AC5" i="25"/>
  <c r="AB6" i="25"/>
  <c r="AC6" i="25"/>
  <c r="AB7" i="25"/>
  <c r="AC7" i="25"/>
  <c r="AB8" i="25"/>
  <c r="AC8" i="25"/>
  <c r="AB9" i="25"/>
  <c r="AC9" i="25"/>
  <c r="AB10" i="25"/>
  <c r="AC10" i="25"/>
  <c r="AB11" i="25"/>
  <c r="AC11" i="25"/>
  <c r="AB12" i="25"/>
  <c r="AC12" i="25"/>
  <c r="AB13" i="25"/>
  <c r="AC13" i="25"/>
  <c r="AB14" i="25"/>
  <c r="AC14" i="25"/>
  <c r="AB15" i="25"/>
  <c r="AC15" i="25"/>
  <c r="AB16" i="25"/>
  <c r="AC16" i="25"/>
  <c r="AB17" i="25"/>
  <c r="AC17" i="25"/>
  <c r="AB18" i="25"/>
  <c r="AC18" i="25"/>
  <c r="AB19" i="25"/>
  <c r="AC19" i="25"/>
  <c r="AB20" i="25"/>
  <c r="AC20" i="25"/>
  <c r="AB21" i="25"/>
  <c r="AC21" i="25"/>
  <c r="AB22" i="25"/>
  <c r="AC22" i="25"/>
  <c r="AB23" i="25"/>
  <c r="AC23" i="25"/>
  <c r="AB24" i="25"/>
  <c r="AC24" i="25"/>
  <c r="AB25" i="25"/>
  <c r="AC25" i="25"/>
  <c r="AB26" i="25"/>
  <c r="AC26" i="25"/>
  <c r="AB27" i="25"/>
  <c r="AC27" i="25"/>
  <c r="AB28" i="25"/>
  <c r="AC28" i="25"/>
  <c r="AB29" i="25"/>
  <c r="AC29" i="25"/>
  <c r="AB30" i="25"/>
  <c r="AC30" i="25"/>
  <c r="AB31" i="25"/>
  <c r="AC31" i="25"/>
  <c r="AB32" i="25"/>
  <c r="AC32" i="25"/>
  <c r="AB33" i="25"/>
  <c r="AC33" i="25"/>
  <c r="U4" i="25"/>
  <c r="W4" i="25"/>
  <c r="X4" i="25"/>
  <c r="W5" i="25"/>
  <c r="X5" i="25"/>
  <c r="W6" i="25"/>
  <c r="X6" i="25"/>
  <c r="U7" i="25"/>
  <c r="W7" i="25"/>
  <c r="X7" i="25"/>
  <c r="W8" i="25"/>
  <c r="X8" i="25"/>
  <c r="W9" i="25"/>
  <c r="X9" i="25"/>
  <c r="W10" i="25"/>
  <c r="X10" i="25"/>
  <c r="W11" i="25"/>
  <c r="X11" i="25"/>
  <c r="W12" i="25"/>
  <c r="X12" i="25"/>
  <c r="W13" i="25"/>
  <c r="X13" i="25"/>
  <c r="W14" i="25"/>
  <c r="X14" i="25"/>
  <c r="W15" i="25"/>
  <c r="X15" i="25"/>
  <c r="W16" i="25"/>
  <c r="X16" i="25"/>
  <c r="W17" i="25"/>
  <c r="X17" i="25"/>
  <c r="W18" i="25"/>
  <c r="X18" i="25"/>
  <c r="W19" i="25"/>
  <c r="X19" i="25"/>
  <c r="W20" i="25"/>
  <c r="X20" i="25"/>
  <c r="W21" i="25"/>
  <c r="X21" i="25"/>
  <c r="W22" i="25"/>
  <c r="X22" i="25"/>
  <c r="W23" i="25"/>
  <c r="X23" i="25"/>
  <c r="W24" i="25"/>
  <c r="X24" i="25"/>
  <c r="W25" i="25"/>
  <c r="X25" i="25"/>
  <c r="W26" i="25"/>
  <c r="X26" i="25"/>
  <c r="W27" i="25"/>
  <c r="X27" i="25"/>
  <c r="W28" i="25"/>
  <c r="X28" i="25"/>
  <c r="W29" i="25"/>
  <c r="X29" i="25"/>
  <c r="W30" i="25"/>
  <c r="X30" i="25"/>
  <c r="W31" i="25"/>
  <c r="X31" i="25"/>
  <c r="W32" i="25"/>
  <c r="X32" i="25"/>
  <c r="R4" i="25"/>
  <c r="S4" i="25"/>
  <c r="R5" i="25"/>
  <c r="S5" i="25"/>
  <c r="R6" i="25"/>
  <c r="S6" i="25"/>
  <c r="R7" i="25"/>
  <c r="S7" i="25"/>
  <c r="R8" i="25"/>
  <c r="S8" i="25"/>
  <c r="R9" i="25"/>
  <c r="S9" i="25"/>
  <c r="R10" i="25"/>
  <c r="S10" i="25"/>
  <c r="R11" i="25"/>
  <c r="S11" i="25"/>
  <c r="R12" i="25"/>
  <c r="S12" i="25"/>
  <c r="R13" i="25"/>
  <c r="S13" i="25"/>
  <c r="R14" i="25"/>
  <c r="S14" i="25"/>
  <c r="R15" i="25"/>
  <c r="S15" i="25"/>
  <c r="R16" i="25"/>
  <c r="S16" i="25"/>
  <c r="R17" i="25"/>
  <c r="S17" i="25"/>
  <c r="R18" i="25"/>
  <c r="R19" i="25"/>
  <c r="S19" i="25"/>
  <c r="R20" i="25"/>
  <c r="S20" i="25"/>
  <c r="R21" i="25"/>
  <c r="S21" i="25"/>
  <c r="R22" i="25"/>
  <c r="S22" i="25"/>
  <c r="R23" i="25"/>
  <c r="S23" i="25"/>
  <c r="R24" i="25"/>
  <c r="S24" i="25"/>
  <c r="R25" i="25"/>
  <c r="S25" i="25"/>
  <c r="R26" i="25"/>
  <c r="S26" i="25"/>
  <c r="R27" i="25"/>
  <c r="S27" i="25"/>
  <c r="R28" i="25"/>
  <c r="S28" i="25"/>
  <c r="R29" i="25"/>
  <c r="S29" i="25"/>
  <c r="R30" i="25"/>
  <c r="S30" i="25"/>
  <c r="R31" i="25"/>
  <c r="S31" i="25"/>
  <c r="R32" i="25"/>
  <c r="S32" i="25"/>
  <c r="R33" i="25"/>
  <c r="S33" i="25"/>
  <c r="M4" i="25"/>
  <c r="N4" i="25"/>
  <c r="K5" i="25"/>
  <c r="M5" i="25"/>
  <c r="N5" i="25"/>
  <c r="K6" i="25"/>
  <c r="M6" i="25"/>
  <c r="N6" i="25"/>
  <c r="M7" i="25"/>
  <c r="N7" i="25"/>
  <c r="M8" i="25"/>
  <c r="N8" i="25"/>
  <c r="M9" i="25"/>
  <c r="N9" i="25"/>
  <c r="M10" i="25"/>
  <c r="N10" i="25"/>
  <c r="M11" i="25"/>
  <c r="N11" i="25"/>
  <c r="M12" i="25"/>
  <c r="N12" i="25"/>
  <c r="M13" i="25"/>
  <c r="N13" i="25"/>
  <c r="M14" i="25"/>
  <c r="N14" i="25"/>
  <c r="M15" i="25"/>
  <c r="N15" i="25"/>
  <c r="M16" i="25"/>
  <c r="N16" i="25"/>
  <c r="M17" i="25"/>
  <c r="N17" i="25"/>
  <c r="M18" i="25"/>
  <c r="N18" i="25"/>
  <c r="M19" i="25"/>
  <c r="N19" i="25"/>
  <c r="M20" i="25"/>
  <c r="N20" i="25"/>
  <c r="M21" i="25"/>
  <c r="N21" i="25"/>
  <c r="M22" i="25"/>
  <c r="N22" i="25"/>
  <c r="M23" i="25"/>
  <c r="N23" i="25"/>
  <c r="M24" i="25"/>
  <c r="N24" i="25"/>
  <c r="M25" i="25"/>
  <c r="N25" i="25"/>
  <c r="M26" i="25"/>
  <c r="N26" i="25"/>
  <c r="M27" i="25"/>
  <c r="N27" i="25"/>
  <c r="M28" i="25"/>
  <c r="N28" i="25"/>
  <c r="M29" i="25"/>
  <c r="N29" i="25"/>
  <c r="M30" i="25"/>
  <c r="N30" i="25"/>
  <c r="M31" i="25"/>
  <c r="N31" i="25"/>
  <c r="M32" i="25"/>
  <c r="N32" i="25"/>
  <c r="H4" i="25"/>
  <c r="I4" i="25"/>
  <c r="H5" i="25"/>
  <c r="I5" i="25"/>
  <c r="H6" i="25"/>
  <c r="I6" i="25"/>
  <c r="H7" i="25"/>
  <c r="I7" i="25"/>
  <c r="H8" i="25"/>
  <c r="I8" i="25"/>
  <c r="H9" i="25"/>
  <c r="I9" i="25"/>
  <c r="H10" i="25"/>
  <c r="I10" i="25"/>
  <c r="H11" i="25"/>
  <c r="I11" i="25"/>
  <c r="H12" i="25"/>
  <c r="I12" i="25"/>
  <c r="H13" i="25"/>
  <c r="I13" i="25"/>
  <c r="H14" i="25"/>
  <c r="I14" i="25"/>
  <c r="H15" i="25"/>
  <c r="I15" i="25"/>
  <c r="H16" i="25"/>
  <c r="I16" i="25"/>
  <c r="H17" i="25"/>
  <c r="I17" i="25"/>
  <c r="H18" i="25"/>
  <c r="I18" i="25"/>
  <c r="H19" i="25"/>
  <c r="I19" i="25"/>
  <c r="H20" i="25"/>
  <c r="I20" i="25"/>
  <c r="H21" i="25"/>
  <c r="I21" i="25"/>
  <c r="H22" i="25"/>
  <c r="I22" i="25"/>
  <c r="H23" i="25"/>
  <c r="I23" i="25"/>
  <c r="H24" i="25"/>
  <c r="I24" i="25"/>
  <c r="H25" i="25"/>
  <c r="I25" i="25"/>
  <c r="H26" i="25"/>
  <c r="I26" i="25"/>
  <c r="H27" i="25"/>
  <c r="I27" i="25"/>
  <c r="H28" i="25"/>
  <c r="I28" i="25"/>
  <c r="H29" i="25"/>
  <c r="I29" i="25"/>
  <c r="H30" i="25"/>
  <c r="I30" i="25"/>
  <c r="H31" i="25"/>
  <c r="I31" i="25"/>
  <c r="H32" i="25"/>
  <c r="I32" i="25"/>
  <c r="H33" i="25"/>
  <c r="I33" i="25"/>
  <c r="AC3" i="25"/>
  <c r="AB3" i="25"/>
  <c r="X3" i="25"/>
  <c r="W3" i="25"/>
  <c r="S3" i="25"/>
  <c r="R3" i="25"/>
  <c r="P3" i="25"/>
  <c r="N3" i="25"/>
  <c r="M3" i="25"/>
  <c r="K3" i="25"/>
  <c r="I3" i="25"/>
  <c r="H3" i="25"/>
  <c r="C4" i="25"/>
  <c r="D4" i="25"/>
  <c r="C5" i="25"/>
  <c r="D5" i="25"/>
  <c r="C6" i="25"/>
  <c r="D6" i="25"/>
  <c r="C7" i="25"/>
  <c r="D7" i="25"/>
  <c r="C8" i="25"/>
  <c r="D8" i="25"/>
  <c r="C9" i="25"/>
  <c r="D9" i="25"/>
  <c r="C10" i="25"/>
  <c r="D10" i="25"/>
  <c r="C11" i="25"/>
  <c r="D11" i="25"/>
  <c r="C12" i="25"/>
  <c r="D12" i="25"/>
  <c r="C13" i="25"/>
  <c r="D13" i="25"/>
  <c r="D14" i="25"/>
  <c r="C15" i="25"/>
  <c r="D15" i="25"/>
  <c r="C16" i="25"/>
  <c r="D16" i="25"/>
  <c r="C17" i="25"/>
  <c r="D17" i="25"/>
  <c r="C18" i="25"/>
  <c r="D18" i="25"/>
  <c r="C19" i="25"/>
  <c r="D19" i="25"/>
  <c r="C20" i="25"/>
  <c r="D20" i="25"/>
  <c r="C21" i="25"/>
  <c r="D21" i="25"/>
  <c r="C22" i="25"/>
  <c r="D22" i="25"/>
  <c r="C23" i="25"/>
  <c r="D23" i="25"/>
  <c r="C24" i="25"/>
  <c r="D24" i="25"/>
  <c r="C25" i="25"/>
  <c r="D25" i="25"/>
  <c r="C26" i="25"/>
  <c r="D26" i="25"/>
  <c r="C27" i="25"/>
  <c r="D27" i="25"/>
  <c r="C28" i="25"/>
  <c r="D28" i="25"/>
  <c r="C29" i="25"/>
  <c r="D29" i="25"/>
  <c r="C30" i="25"/>
  <c r="D30" i="25"/>
  <c r="C31" i="25"/>
  <c r="D31" i="25"/>
  <c r="D3" i="25"/>
  <c r="C3" i="25"/>
  <c r="AC3" i="24"/>
  <c r="AB4" i="24"/>
  <c r="AC4" i="24"/>
  <c r="AB5" i="24"/>
  <c r="AC5" i="24"/>
  <c r="AB6" i="24"/>
  <c r="AC6" i="24"/>
  <c r="AB7" i="24"/>
  <c r="AC7" i="24"/>
  <c r="AB8" i="24"/>
  <c r="AC8" i="24"/>
  <c r="AB9" i="24"/>
  <c r="AC9" i="24"/>
  <c r="AB10" i="24"/>
  <c r="AC10" i="24"/>
  <c r="AB11" i="24"/>
  <c r="AC11" i="24"/>
  <c r="AB12" i="24"/>
  <c r="AC12" i="24"/>
  <c r="AB13" i="24"/>
  <c r="AC13" i="24"/>
  <c r="AB14" i="24"/>
  <c r="AC14" i="24"/>
  <c r="AB15" i="24"/>
  <c r="AC15" i="24"/>
  <c r="AB16" i="24"/>
  <c r="AC16" i="24"/>
  <c r="AB17" i="24"/>
  <c r="AC17" i="24"/>
  <c r="AB18" i="24"/>
  <c r="AC18" i="24"/>
  <c r="AB19" i="24"/>
  <c r="AC19" i="24"/>
  <c r="AB20" i="24"/>
  <c r="AC20" i="24"/>
  <c r="AB21" i="24"/>
  <c r="AC21" i="24"/>
  <c r="AB22" i="24"/>
  <c r="AC22" i="24"/>
  <c r="AB23" i="24"/>
  <c r="AC23" i="24"/>
  <c r="AB24" i="24"/>
  <c r="AC24" i="24"/>
  <c r="AB25" i="24"/>
  <c r="AC25" i="24"/>
  <c r="AB26" i="24"/>
  <c r="AC26" i="24"/>
  <c r="AB27" i="24"/>
  <c r="AC27" i="24"/>
  <c r="AB28" i="24"/>
  <c r="AC28" i="24"/>
  <c r="AB29" i="24"/>
  <c r="AC29" i="24"/>
  <c r="AB30" i="24"/>
  <c r="AC30" i="24"/>
  <c r="AB31" i="24"/>
  <c r="AC31" i="24"/>
  <c r="AB32" i="24"/>
  <c r="AC32" i="24"/>
  <c r="AB33" i="24"/>
  <c r="AC33" i="24"/>
  <c r="X3" i="24"/>
  <c r="U4" i="24"/>
  <c r="W4" i="24"/>
  <c r="X4" i="24"/>
  <c r="W5" i="24"/>
  <c r="X5" i="24"/>
  <c r="W6" i="24"/>
  <c r="X6" i="24"/>
  <c r="W7" i="24"/>
  <c r="X7" i="24"/>
  <c r="W8" i="24"/>
  <c r="X8" i="24"/>
  <c r="W9" i="24"/>
  <c r="X9" i="24"/>
  <c r="W10" i="24"/>
  <c r="X10" i="24"/>
  <c r="W11" i="24"/>
  <c r="X11" i="24"/>
  <c r="W12" i="24"/>
  <c r="X12" i="24"/>
  <c r="W13" i="24"/>
  <c r="X13" i="24"/>
  <c r="W14" i="24"/>
  <c r="X14" i="24"/>
  <c r="W15" i="24"/>
  <c r="X15" i="24"/>
  <c r="W16" i="24"/>
  <c r="X16" i="24"/>
  <c r="W17" i="24"/>
  <c r="X17" i="24"/>
  <c r="W18" i="24"/>
  <c r="X18" i="24"/>
  <c r="W19" i="24"/>
  <c r="X19" i="24"/>
  <c r="W20" i="24"/>
  <c r="X20" i="24"/>
  <c r="W21" i="24"/>
  <c r="X21" i="24"/>
  <c r="W22" i="24"/>
  <c r="X22" i="24"/>
  <c r="W23" i="24"/>
  <c r="X23" i="24"/>
  <c r="W24" i="24"/>
  <c r="X24" i="24"/>
  <c r="W25" i="24"/>
  <c r="X25" i="24"/>
  <c r="W26" i="24"/>
  <c r="X26" i="24"/>
  <c r="W27" i="24"/>
  <c r="X27" i="24"/>
  <c r="W28" i="24"/>
  <c r="X28" i="24"/>
  <c r="W29" i="24"/>
  <c r="X29" i="24"/>
  <c r="W30" i="24"/>
  <c r="X30" i="24"/>
  <c r="W31" i="24"/>
  <c r="X31" i="24"/>
  <c r="W32" i="24"/>
  <c r="X32" i="24"/>
  <c r="Y32" i="24"/>
  <c r="W33" i="24"/>
  <c r="X33" i="24"/>
  <c r="R4" i="24"/>
  <c r="S4" i="24"/>
  <c r="R5" i="24"/>
  <c r="S5" i="24"/>
  <c r="R6" i="24"/>
  <c r="S6" i="24"/>
  <c r="R7" i="24"/>
  <c r="S7" i="24"/>
  <c r="R8" i="24"/>
  <c r="S8" i="24"/>
  <c r="R9" i="24"/>
  <c r="S9" i="24"/>
  <c r="R10" i="24"/>
  <c r="S10" i="24"/>
  <c r="R11" i="24"/>
  <c r="S11" i="24"/>
  <c r="R12" i="24"/>
  <c r="S12" i="24"/>
  <c r="R13" i="24"/>
  <c r="S13" i="24"/>
  <c r="R14" i="24"/>
  <c r="S14" i="24"/>
  <c r="R15" i="24"/>
  <c r="S15" i="24"/>
  <c r="R16" i="24"/>
  <c r="S16" i="24"/>
  <c r="R17" i="24"/>
  <c r="S17" i="24"/>
  <c r="R18" i="24"/>
  <c r="S18" i="24"/>
  <c r="R19" i="24"/>
  <c r="S19" i="24"/>
  <c r="R20" i="24"/>
  <c r="S20" i="24"/>
  <c r="R21" i="24"/>
  <c r="S21" i="24"/>
  <c r="R22" i="24"/>
  <c r="S22" i="24"/>
  <c r="R23" i="24"/>
  <c r="S23" i="24"/>
  <c r="R24" i="24"/>
  <c r="S24" i="24"/>
  <c r="R25" i="24"/>
  <c r="S25" i="24"/>
  <c r="R26" i="24"/>
  <c r="S26" i="24"/>
  <c r="R27" i="24"/>
  <c r="S27" i="24"/>
  <c r="R28" i="24"/>
  <c r="S28" i="24"/>
  <c r="R29" i="24"/>
  <c r="S29" i="24"/>
  <c r="R30" i="24"/>
  <c r="S30" i="24"/>
  <c r="R31" i="24"/>
  <c r="S31" i="24"/>
  <c r="R32" i="24"/>
  <c r="S32" i="24"/>
  <c r="M4" i="24"/>
  <c r="N4" i="24"/>
  <c r="M5" i="24"/>
  <c r="N5" i="24"/>
  <c r="M6" i="24"/>
  <c r="N6" i="24"/>
  <c r="M7" i="24"/>
  <c r="N7" i="24"/>
  <c r="M8" i="24"/>
  <c r="N8" i="24"/>
  <c r="M9" i="24"/>
  <c r="N9" i="24"/>
  <c r="M10" i="24"/>
  <c r="N10" i="24"/>
  <c r="M11" i="24"/>
  <c r="N11" i="24"/>
  <c r="M12" i="24"/>
  <c r="N12" i="24"/>
  <c r="M13" i="24"/>
  <c r="N13" i="24"/>
  <c r="M14" i="24"/>
  <c r="N14" i="24"/>
  <c r="M15" i="24"/>
  <c r="N15" i="24"/>
  <c r="M16" i="24"/>
  <c r="N16" i="24"/>
  <c r="M17" i="24"/>
  <c r="N17" i="24"/>
  <c r="M18" i="24"/>
  <c r="N18" i="24"/>
  <c r="M19" i="24"/>
  <c r="N19" i="24"/>
  <c r="M20" i="24"/>
  <c r="N20" i="24"/>
  <c r="M21" i="24"/>
  <c r="N21" i="24"/>
  <c r="M22" i="24"/>
  <c r="N22" i="24"/>
  <c r="M23" i="24"/>
  <c r="N23" i="24"/>
  <c r="M24" i="24"/>
  <c r="N24" i="24"/>
  <c r="M25" i="24"/>
  <c r="N25" i="24"/>
  <c r="M26" i="24"/>
  <c r="N26" i="24"/>
  <c r="M27" i="24"/>
  <c r="N27" i="24"/>
  <c r="M28" i="24"/>
  <c r="N28" i="24"/>
  <c r="M29" i="24"/>
  <c r="N29" i="24"/>
  <c r="M30" i="24"/>
  <c r="N30" i="24"/>
  <c r="M31" i="24"/>
  <c r="N31" i="24"/>
  <c r="M32" i="24"/>
  <c r="N32" i="24"/>
  <c r="M33" i="24"/>
  <c r="N33" i="24"/>
  <c r="AB3" i="24"/>
  <c r="Z3" i="24"/>
  <c r="W3" i="24"/>
  <c r="S3" i="24"/>
  <c r="R3" i="24"/>
  <c r="N3" i="24"/>
  <c r="M3" i="24"/>
  <c r="K3" i="24"/>
  <c r="D4" i="24"/>
  <c r="D5" i="24"/>
  <c r="D6" i="24"/>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I4" i="24"/>
  <c r="I5" i="24"/>
  <c r="I6" i="24"/>
  <c r="I7" i="24"/>
  <c r="I8" i="24"/>
  <c r="I9" i="24"/>
  <c r="I10" i="24"/>
  <c r="I11" i="24"/>
  <c r="I12" i="24"/>
  <c r="I13" i="24"/>
  <c r="I14" i="24"/>
  <c r="I15" i="24"/>
  <c r="I16" i="24"/>
  <c r="I17" i="24"/>
  <c r="I18" i="24"/>
  <c r="I19" i="24"/>
  <c r="I20" i="24"/>
  <c r="I21" i="24"/>
  <c r="I22" i="24"/>
  <c r="I23" i="24"/>
  <c r="I24" i="24"/>
  <c r="I25" i="24"/>
  <c r="I26" i="24"/>
  <c r="I27" i="24"/>
  <c r="I28" i="24"/>
  <c r="I29" i="24"/>
  <c r="I30" i="24"/>
  <c r="I31" i="24"/>
  <c r="I32" i="24"/>
  <c r="H4" i="24"/>
  <c r="H5" i="24"/>
  <c r="H6" i="24"/>
  <c r="H7" i="24"/>
  <c r="H8" i="24"/>
  <c r="H9" i="24"/>
  <c r="H10" i="24"/>
  <c r="H11" i="24"/>
  <c r="H12" i="24"/>
  <c r="H13" i="24"/>
  <c r="H14" i="24"/>
  <c r="H15" i="24"/>
  <c r="H16" i="24"/>
  <c r="H17" i="24"/>
  <c r="H18" i="24"/>
  <c r="H19" i="24"/>
  <c r="H20" i="24"/>
  <c r="H21" i="24"/>
  <c r="H22" i="24"/>
  <c r="H23" i="24"/>
  <c r="H24" i="24"/>
  <c r="H25" i="24"/>
  <c r="H26" i="24"/>
  <c r="H27" i="24"/>
  <c r="H28" i="24"/>
  <c r="H29" i="24"/>
  <c r="H30" i="24"/>
  <c r="H31" i="24"/>
  <c r="H32" i="24"/>
  <c r="I3" i="24"/>
  <c r="H3" i="24"/>
  <c r="F3" i="24"/>
  <c r="D3" i="24"/>
  <c r="C4" i="24"/>
  <c r="C5" i="24"/>
  <c r="C6" i="24"/>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 i="24"/>
  <c r="AU4" i="23"/>
  <c r="AS5" i="23"/>
  <c r="AU5" i="23"/>
  <c r="AU6" i="23"/>
  <c r="AU7" i="23"/>
  <c r="AU8" i="23"/>
  <c r="AU9" i="23"/>
  <c r="AU10" i="23"/>
  <c r="AU11" i="23"/>
  <c r="AU12" i="23"/>
  <c r="AU13" i="23"/>
  <c r="AU14" i="23"/>
  <c r="AU15" i="23"/>
  <c r="AU16" i="23"/>
  <c r="AU17" i="23"/>
  <c r="AU18" i="23"/>
  <c r="AU19" i="23"/>
  <c r="AU20" i="23"/>
  <c r="AU21" i="23"/>
  <c r="AU22" i="23"/>
  <c r="AU23" i="23"/>
  <c r="AU24" i="23"/>
  <c r="AU25" i="23"/>
  <c r="AU26" i="23"/>
  <c r="AU27" i="23"/>
  <c r="AU28" i="23"/>
  <c r="AU29" i="23"/>
  <c r="AU30" i="23"/>
  <c r="AU31" i="23"/>
  <c r="AU32" i="23"/>
  <c r="AU33" i="23"/>
  <c r="AU3" i="23"/>
  <c r="AS3" i="23"/>
  <c r="AQ4" i="23"/>
  <c r="AQ5" i="23"/>
  <c r="AQ6" i="23"/>
  <c r="AQ7" i="23"/>
  <c r="AO8" i="23"/>
  <c r="AQ8" i="23"/>
  <c r="AQ9" i="23"/>
  <c r="AQ10" i="23"/>
  <c r="AQ11" i="23"/>
  <c r="AQ12" i="23"/>
  <c r="AQ13" i="23"/>
  <c r="AQ14" i="23"/>
  <c r="AQ15" i="23"/>
  <c r="AQ16" i="23"/>
  <c r="AQ17" i="23"/>
  <c r="AQ18" i="23"/>
  <c r="AQ19" i="23"/>
  <c r="AQ20" i="23"/>
  <c r="AQ21" i="23"/>
  <c r="AQ22" i="23"/>
  <c r="AQ23" i="23"/>
  <c r="AQ24" i="23"/>
  <c r="AQ25" i="23"/>
  <c r="AQ26" i="23"/>
  <c r="AQ27" i="23"/>
  <c r="AQ28" i="23"/>
  <c r="AQ29" i="23"/>
  <c r="AQ30" i="23"/>
  <c r="AQ31" i="23"/>
  <c r="AQ32" i="23"/>
  <c r="AQ3" i="23"/>
  <c r="AO3" i="23"/>
  <c r="AM4" i="23"/>
  <c r="AM5" i="23"/>
  <c r="AM6" i="23"/>
  <c r="AM7" i="23"/>
  <c r="AM8" i="23"/>
  <c r="AM9" i="23"/>
  <c r="AM10" i="23"/>
  <c r="AM11" i="23"/>
  <c r="AM12" i="23"/>
  <c r="AM13" i="23"/>
  <c r="AM14" i="23"/>
  <c r="AM15" i="23"/>
  <c r="AM16" i="23"/>
  <c r="AK17" i="23"/>
  <c r="AM17" i="23"/>
  <c r="AM18" i="23"/>
  <c r="AM19" i="23"/>
  <c r="AM20" i="23"/>
  <c r="AM21" i="23"/>
  <c r="AM22" i="23"/>
  <c r="AM23" i="23"/>
  <c r="AM24" i="23"/>
  <c r="AM25" i="23"/>
  <c r="AM26" i="23"/>
  <c r="AM27" i="23"/>
  <c r="AM28" i="23"/>
  <c r="AM29" i="23"/>
  <c r="AM30" i="23"/>
  <c r="AM31" i="23"/>
  <c r="AM32" i="23"/>
  <c r="AM33" i="23"/>
  <c r="AM3" i="23"/>
  <c r="AG4" i="23"/>
  <c r="AI4" i="23"/>
  <c r="AI5" i="23"/>
  <c r="AG6" i="23"/>
  <c r="AI6" i="23"/>
  <c r="AI7" i="23"/>
  <c r="AG8" i="23"/>
  <c r="AI8" i="23"/>
  <c r="AI9" i="23"/>
  <c r="AI10" i="23"/>
  <c r="AI11" i="23"/>
  <c r="AI12" i="23"/>
  <c r="AI13" i="23"/>
  <c r="AI14" i="23"/>
  <c r="AI15" i="23"/>
  <c r="AI16" i="23"/>
  <c r="AI17" i="23"/>
  <c r="AI18" i="23"/>
  <c r="AI19" i="23"/>
  <c r="AI20" i="23"/>
  <c r="AI21" i="23"/>
  <c r="AI22" i="23"/>
  <c r="AI23" i="23"/>
  <c r="AI24" i="23"/>
  <c r="AI25" i="23"/>
  <c r="AI26" i="23"/>
  <c r="AI27" i="23"/>
  <c r="AI28" i="23"/>
  <c r="AI29" i="23"/>
  <c r="AI30" i="23"/>
  <c r="AI31" i="23"/>
  <c r="AI32" i="23"/>
  <c r="AI3" i="23"/>
  <c r="AG3" i="23"/>
  <c r="AE5" i="23"/>
  <c r="AE6" i="23"/>
  <c r="AE4" i="23"/>
  <c r="AE7" i="23"/>
  <c r="AE8" i="23"/>
  <c r="AE9" i="23"/>
  <c r="AE10" i="23"/>
  <c r="AE11" i="23"/>
  <c r="AE12" i="23"/>
  <c r="AE13" i="23"/>
  <c r="AE14" i="23"/>
  <c r="AE15" i="23"/>
  <c r="AE16" i="23"/>
  <c r="AE17" i="23"/>
  <c r="AE18" i="23"/>
  <c r="AE19" i="23"/>
  <c r="AE20" i="23"/>
  <c r="AE21" i="23"/>
  <c r="AE22" i="23"/>
  <c r="AE23" i="23"/>
  <c r="AE24" i="23"/>
  <c r="AE25" i="23"/>
  <c r="AE26" i="23"/>
  <c r="AE27" i="23"/>
  <c r="AE28" i="23"/>
  <c r="AE29" i="23"/>
  <c r="AE30" i="23"/>
  <c r="AE31" i="23"/>
  <c r="AE32" i="23"/>
  <c r="AE33" i="23"/>
  <c r="AE3" i="23"/>
  <c r="AA4" i="23"/>
  <c r="AA5" i="23"/>
  <c r="AA6" i="23"/>
  <c r="AA7" i="23"/>
  <c r="AA8" i="23"/>
  <c r="AA9" i="23"/>
  <c r="AA10" i="23"/>
  <c r="AA11" i="23"/>
  <c r="AA12" i="23"/>
  <c r="AA13" i="23"/>
  <c r="AA14" i="23"/>
  <c r="AA15" i="23"/>
  <c r="AA16" i="23"/>
  <c r="AA17" i="23"/>
  <c r="AA18" i="23"/>
  <c r="AA19" i="23"/>
  <c r="AA20" i="23"/>
  <c r="AA21" i="23"/>
  <c r="AA22" i="23"/>
  <c r="AA23" i="23"/>
  <c r="AA24" i="23"/>
  <c r="AA25" i="23"/>
  <c r="AA26" i="23"/>
  <c r="AA27" i="23"/>
  <c r="AA28" i="23"/>
  <c r="AA29" i="23"/>
  <c r="AA30" i="23"/>
  <c r="AA3" i="23"/>
  <c r="W4" i="23"/>
  <c r="W5" i="23"/>
  <c r="W6" i="23"/>
  <c r="W7" i="23"/>
  <c r="W8" i="23"/>
  <c r="W9" i="23"/>
  <c r="W10" i="23"/>
  <c r="W11" i="23"/>
  <c r="W12" i="23"/>
  <c r="W13" i="23"/>
  <c r="W14" i="23"/>
  <c r="W15" i="23"/>
  <c r="W16" i="23"/>
  <c r="W17" i="23"/>
  <c r="W18" i="23"/>
  <c r="W19" i="23"/>
  <c r="W20" i="23"/>
  <c r="W21" i="23"/>
  <c r="W22" i="23"/>
  <c r="W23" i="23"/>
  <c r="W24" i="23"/>
  <c r="W25" i="23"/>
  <c r="W26" i="23"/>
  <c r="W27" i="23"/>
  <c r="W28" i="23"/>
  <c r="W29" i="23"/>
  <c r="W30" i="23"/>
  <c r="W31" i="23"/>
  <c r="W32" i="23"/>
  <c r="W33" i="23"/>
  <c r="W3" i="23"/>
  <c r="U3" i="23"/>
  <c r="S4" i="23"/>
  <c r="S5" i="23"/>
  <c r="S6" i="23"/>
  <c r="S7" i="23"/>
  <c r="S8" i="23"/>
  <c r="S9" i="23"/>
  <c r="S10" i="23"/>
  <c r="S11" i="23"/>
  <c r="S12" i="23"/>
  <c r="S13" i="23"/>
  <c r="S14" i="23"/>
  <c r="S15" i="23"/>
  <c r="S16" i="23"/>
  <c r="S17" i="23"/>
  <c r="S18" i="23"/>
  <c r="S19" i="23"/>
  <c r="S20" i="23"/>
  <c r="S21" i="23"/>
  <c r="S22" i="23"/>
  <c r="S23" i="23"/>
  <c r="S24" i="23"/>
  <c r="S25" i="23"/>
  <c r="S26" i="23"/>
  <c r="S27" i="23"/>
  <c r="S28" i="23"/>
  <c r="S29" i="23"/>
  <c r="S30" i="23"/>
  <c r="S31" i="23"/>
  <c r="S32" i="23"/>
  <c r="T32" i="23"/>
  <c r="S33" i="23"/>
  <c r="S3" i="23"/>
  <c r="O4" i="23"/>
  <c r="O5" i="23"/>
  <c r="O6" i="23"/>
  <c r="O7" i="23"/>
  <c r="O8" i="23"/>
  <c r="O9" i="23"/>
  <c r="O10" i="23"/>
  <c r="O11" i="23"/>
  <c r="O12" i="23"/>
  <c r="O13" i="23"/>
  <c r="O14" i="23"/>
  <c r="O15" i="23"/>
  <c r="O16" i="23"/>
  <c r="O17" i="23"/>
  <c r="O18" i="23"/>
  <c r="O19" i="23"/>
  <c r="O20" i="23"/>
  <c r="O21" i="23"/>
  <c r="O22" i="23"/>
  <c r="O23" i="23"/>
  <c r="O24" i="23"/>
  <c r="O25" i="23"/>
  <c r="O26" i="23"/>
  <c r="O27" i="23"/>
  <c r="O28" i="23"/>
  <c r="O29" i="23"/>
  <c r="O30" i="23"/>
  <c r="O31" i="23"/>
  <c r="O32" i="23"/>
  <c r="O3" i="23"/>
  <c r="K4" i="23"/>
  <c r="K5" i="23"/>
  <c r="K6" i="23"/>
  <c r="K7" i="23"/>
  <c r="K8" i="23"/>
  <c r="K9" i="23"/>
  <c r="K10" i="23"/>
  <c r="K11" i="23"/>
  <c r="K12" i="23"/>
  <c r="K13" i="23"/>
  <c r="K14" i="23"/>
  <c r="K15" i="23"/>
  <c r="K16" i="23"/>
  <c r="K17" i="23"/>
  <c r="K18" i="23"/>
  <c r="K19" i="23"/>
  <c r="K20" i="23"/>
  <c r="K21" i="23"/>
  <c r="K22" i="23"/>
  <c r="K23" i="23"/>
  <c r="K24" i="23"/>
  <c r="K25" i="23"/>
  <c r="K26" i="23"/>
  <c r="K27" i="23"/>
  <c r="K28" i="23"/>
  <c r="K29" i="23"/>
  <c r="K30" i="23"/>
  <c r="K31" i="23"/>
  <c r="K32" i="23"/>
  <c r="K33" i="23"/>
  <c r="K3" i="23"/>
  <c r="G4" i="23"/>
  <c r="G5" i="23"/>
  <c r="G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 i="23"/>
  <c r="E3" i="23"/>
  <c r="C4" i="23"/>
  <c r="C5" i="23"/>
  <c r="C6" i="23"/>
  <c r="C7" i="23"/>
  <c r="C8" i="23"/>
  <c r="C9" i="23"/>
  <c r="C10" i="23"/>
  <c r="C11" i="23"/>
  <c r="C12" i="23"/>
  <c r="C13" i="23"/>
  <c r="C14" i="23"/>
  <c r="C15" i="23"/>
  <c r="C16" i="23"/>
  <c r="C17" i="23"/>
  <c r="C18" i="23"/>
  <c r="C19" i="23"/>
  <c r="C20" i="23"/>
  <c r="C21" i="23"/>
  <c r="C22" i="23"/>
  <c r="C23" i="23"/>
  <c r="C24" i="23"/>
  <c r="C25" i="23"/>
  <c r="C26" i="23"/>
  <c r="C27" i="23"/>
  <c r="C28" i="23"/>
  <c r="C29" i="23"/>
  <c r="C30" i="23"/>
  <c r="C31" i="23"/>
  <c r="C32" i="23"/>
  <c r="C33" i="23"/>
  <c r="C3" i="23"/>
  <c r="P41" i="22"/>
  <c r="W41" i="22" s="1"/>
  <c r="AD41" i="22" s="1"/>
  <c r="AK41" i="22" s="1"/>
  <c r="AR41" i="22" s="1"/>
  <c r="AY41" i="22" s="1"/>
  <c r="BF41" i="22" s="1"/>
  <c r="BM41" i="22" s="1"/>
  <c r="BT41" i="22" s="1"/>
  <c r="CA41" i="22" s="1"/>
  <c r="CI30" i="22" s="1"/>
  <c r="P44" i="22"/>
  <c r="W44" i="22" s="1"/>
  <c r="AD44" i="22" s="1"/>
  <c r="AK44" i="22" s="1"/>
  <c r="AR44" i="22" s="1"/>
  <c r="AY44" i="22" s="1"/>
  <c r="BF44" i="22" s="1"/>
  <c r="BM44" i="22" s="1"/>
  <c r="BT44" i="22" s="1"/>
  <c r="CA44" i="22" s="1"/>
  <c r="CI33" i="22" s="1"/>
  <c r="A99" i="6"/>
  <c r="R167" i="1"/>
  <c r="R168" i="1"/>
  <c r="R169" i="1"/>
  <c r="R170" i="1"/>
  <c r="R171" i="1"/>
  <c r="R172" i="1"/>
  <c r="R173" i="1"/>
  <c r="R174" i="1"/>
  <c r="R179" i="1"/>
  <c r="R180" i="1"/>
  <c r="R181" i="1"/>
  <c r="R182" i="1"/>
  <c r="R166" i="1"/>
  <c r="P167" i="1"/>
  <c r="P168" i="1"/>
  <c r="P169" i="1"/>
  <c r="P170" i="1"/>
  <c r="P171" i="1"/>
  <c r="P172" i="1"/>
  <c r="P173" i="1"/>
  <c r="P174" i="1"/>
  <c r="P179" i="1"/>
  <c r="P180" i="1"/>
  <c r="P181" i="1"/>
  <c r="P182" i="1"/>
  <c r="P166" i="1"/>
  <c r="E9" i="1"/>
  <c r="G17" i="1" s="1"/>
  <c r="J100" i="1"/>
  <c r="J108" i="1"/>
  <c r="B85" i="1"/>
  <c r="L35" i="6"/>
  <c r="L36" i="6"/>
  <c r="L37" i="6"/>
  <c r="L38" i="6"/>
  <c r="L39" i="6"/>
  <c r="L40" i="6"/>
  <c r="L41" i="6"/>
  <c r="L42" i="6"/>
  <c r="L43" i="6"/>
  <c r="B36" i="6"/>
  <c r="B37" i="6"/>
  <c r="B38" i="6"/>
  <c r="B39" i="6"/>
  <c r="B40" i="6"/>
  <c r="B41" i="6"/>
  <c r="B42" i="6"/>
  <c r="B43" i="6"/>
  <c r="D40" i="1"/>
  <c r="H223" i="1" s="1"/>
  <c r="I223" i="1" s="1"/>
  <c r="P40" i="1"/>
  <c r="H236" i="1" s="1"/>
  <c r="I236" i="1" s="1"/>
  <c r="L40" i="1"/>
  <c r="H232" i="1" s="1"/>
  <c r="O40" i="1"/>
  <c r="H235" i="1" s="1"/>
  <c r="I235" i="1" s="1"/>
  <c r="N40" i="1"/>
  <c r="H234" i="1" s="1"/>
  <c r="M40" i="1"/>
  <c r="H233" i="1" s="1"/>
  <c r="I233" i="1" s="1"/>
  <c r="H40" i="1"/>
  <c r="H227" i="1" s="1"/>
  <c r="I227" i="1" s="1"/>
  <c r="G40" i="1"/>
  <c r="H226" i="1" s="1"/>
  <c r="I226" i="1" s="1"/>
  <c r="F40" i="1"/>
  <c r="H225" i="1" s="1"/>
  <c r="I225" i="1" s="1"/>
  <c r="E40" i="1"/>
  <c r="H224" i="1" s="1"/>
  <c r="I224" i="1" s="1"/>
  <c r="I45" i="1"/>
  <c r="I59" i="1"/>
  <c r="A1" i="25"/>
  <c r="A1" i="24"/>
  <c r="AR33" i="23"/>
  <c r="AQ33" i="23"/>
  <c r="AP33" i="23"/>
  <c r="AO33" i="23"/>
  <c r="AJ33" i="23"/>
  <c r="AI33" i="23"/>
  <c r="AH33" i="23"/>
  <c r="AG33" i="23"/>
  <c r="AB33" i="23"/>
  <c r="AA33" i="23"/>
  <c r="Z33" i="23"/>
  <c r="Y33" i="23"/>
  <c r="P33" i="23"/>
  <c r="O33" i="23"/>
  <c r="N33" i="23"/>
  <c r="M33" i="23"/>
  <c r="H33" i="23"/>
  <c r="G33" i="23"/>
  <c r="F33" i="23"/>
  <c r="E33" i="23"/>
  <c r="AA32" i="23"/>
  <c r="Z32" i="23"/>
  <c r="Y32" i="23"/>
  <c r="A3" i="23"/>
  <c r="AS2" i="23"/>
  <c r="AO2" i="23"/>
  <c r="AK2" i="23"/>
  <c r="AG2" i="23"/>
  <c r="AC2" i="23"/>
  <c r="Y2" i="23"/>
  <c r="U2" i="23"/>
  <c r="Q2" i="23"/>
  <c r="M2" i="23"/>
  <c r="I2" i="23"/>
  <c r="E2" i="23"/>
  <c r="A2" i="23"/>
  <c r="A1" i="23"/>
  <c r="B1" i="22"/>
  <c r="AD1" i="22" s="1"/>
  <c r="A58" i="6"/>
  <c r="A59" i="6"/>
  <c r="A60" i="6"/>
  <c r="A61" i="6"/>
  <c r="A62" i="6"/>
  <c r="A63" i="6"/>
  <c r="L31" i="6"/>
  <c r="L32" i="6"/>
  <c r="L33" i="6"/>
  <c r="L34" i="6"/>
  <c r="K4" i="6"/>
  <c r="B33" i="6"/>
  <c r="B34" i="6"/>
  <c r="B35" i="6"/>
  <c r="I234" i="1"/>
  <c r="G237" i="1"/>
  <c r="G228" i="1"/>
  <c r="P78" i="1"/>
  <c r="P70" i="1"/>
  <c r="P60" i="1"/>
  <c r="H78" i="1"/>
  <c r="H60" i="1"/>
  <c r="H70" i="1"/>
  <c r="I73" i="1"/>
  <c r="I77" i="1"/>
  <c r="J43" i="1"/>
  <c r="G18" i="1"/>
  <c r="H88" i="1"/>
  <c r="H89" i="1"/>
  <c r="H90" i="1"/>
  <c r="H91" i="1"/>
  <c r="H92" i="1"/>
  <c r="I210" i="1"/>
  <c r="F109" i="1"/>
  <c r="G109" i="1"/>
  <c r="H61" i="1"/>
  <c r="P61" i="1"/>
  <c r="H221" i="1"/>
  <c r="I221" i="1"/>
  <c r="A56" i="6"/>
  <c r="A57" i="6"/>
  <c r="A67" i="6"/>
  <c r="D59" i="1"/>
  <c r="F223" i="1" s="1"/>
  <c r="E59" i="1"/>
  <c r="F224" i="1" s="1"/>
  <c r="F59" i="1"/>
  <c r="F225" i="1" s="1"/>
  <c r="G59" i="1"/>
  <c r="F226" i="1" s="1"/>
  <c r="H59" i="1"/>
  <c r="F227" i="1" s="1"/>
  <c r="L59" i="1"/>
  <c r="F232" i="1" s="1"/>
  <c r="M59" i="1"/>
  <c r="F233" i="1" s="1"/>
  <c r="N59" i="1"/>
  <c r="F234" i="1" s="1"/>
  <c r="O59" i="1"/>
  <c r="F235" i="1" s="1"/>
  <c r="P59" i="1"/>
  <c r="F236" i="1" s="1"/>
  <c r="L5" i="6"/>
  <c r="S5" i="6"/>
  <c r="I5" i="6"/>
  <c r="A55" i="6"/>
  <c r="A48" i="6"/>
  <c r="A49" i="6"/>
  <c r="A50" i="6"/>
  <c r="A51" i="6"/>
  <c r="A47" i="6"/>
  <c r="A53" i="6"/>
  <c r="A45" i="6"/>
  <c r="D24" i="8"/>
  <c r="D26" i="8" s="1"/>
  <c r="E19" i="1"/>
  <c r="L4" i="6"/>
  <c r="B31" i="6"/>
  <c r="B32" i="6"/>
  <c r="J39" i="1"/>
  <c r="L30" i="6"/>
  <c r="B30" i="6"/>
  <c r="Q27" i="6"/>
  <c r="R27" i="6"/>
  <c r="S27" i="6"/>
  <c r="T27" i="6"/>
  <c r="Q25" i="6"/>
  <c r="R25" i="6"/>
  <c r="S25" i="6"/>
  <c r="T25" i="6"/>
  <c r="Q23" i="6"/>
  <c r="R23" i="6"/>
  <c r="S23" i="6"/>
  <c r="T23" i="6"/>
  <c r="Q21" i="6"/>
  <c r="R21" i="6"/>
  <c r="S21" i="6"/>
  <c r="T21" i="6"/>
  <c r="Q19" i="6"/>
  <c r="R19" i="6"/>
  <c r="S19" i="6"/>
  <c r="T19" i="6"/>
  <c r="Q17" i="6"/>
  <c r="R17" i="6"/>
  <c r="S17" i="6"/>
  <c r="T17" i="6"/>
  <c r="Q15" i="6"/>
  <c r="R15" i="6"/>
  <c r="S15" i="6"/>
  <c r="T15" i="6"/>
  <c r="Q13" i="6"/>
  <c r="R13" i="6"/>
  <c r="S13" i="6"/>
  <c r="T13" i="6"/>
  <c r="Q11" i="6"/>
  <c r="R11" i="6"/>
  <c r="S11" i="6"/>
  <c r="T11" i="6"/>
  <c r="Q9" i="6"/>
  <c r="R9" i="6"/>
  <c r="S9" i="6"/>
  <c r="T9" i="6"/>
  <c r="P27" i="6"/>
  <c r="P25" i="6"/>
  <c r="P23" i="6"/>
  <c r="P21" i="6"/>
  <c r="P19" i="6"/>
  <c r="P17" i="6"/>
  <c r="P15" i="6"/>
  <c r="P13" i="6"/>
  <c r="P11" i="6"/>
  <c r="P9" i="6"/>
  <c r="N9" i="6"/>
  <c r="O9" i="6" s="1"/>
  <c r="N10" i="6" s="1"/>
  <c r="O10" i="6" s="1"/>
  <c r="N11" i="6" s="1"/>
  <c r="O11" i="6" s="1"/>
  <c r="N12" i="6" s="1"/>
  <c r="O12" i="6" s="1"/>
  <c r="N13" i="6" s="1"/>
  <c r="O13" i="6" s="1"/>
  <c r="N14" i="6" s="1"/>
  <c r="O14" i="6" s="1"/>
  <c r="N15" i="6" s="1"/>
  <c r="O15" i="6" s="1"/>
  <c r="N16" i="6" s="1"/>
  <c r="O16" i="6" s="1"/>
  <c r="N17" i="6" s="1"/>
  <c r="O17" i="6" s="1"/>
  <c r="N18" i="6" s="1"/>
  <c r="O18" i="6" s="1"/>
  <c r="N19" i="6" s="1"/>
  <c r="O19" i="6" s="1"/>
  <c r="N20" i="6" s="1"/>
  <c r="O20" i="6" s="1"/>
  <c r="N21" i="6" s="1"/>
  <c r="O21" i="6" s="1"/>
  <c r="N22" i="6" s="1"/>
  <c r="O22" i="6" s="1"/>
  <c r="N23" i="6" s="1"/>
  <c r="O23" i="6" s="1"/>
  <c r="N24" i="6" s="1"/>
  <c r="O24" i="6" s="1"/>
  <c r="N25" i="6" s="1"/>
  <c r="O25" i="6" s="1"/>
  <c r="N26" i="6" s="1"/>
  <c r="O26" i="6" s="1"/>
  <c r="N27" i="6" s="1"/>
  <c r="O27" i="6" s="1"/>
  <c r="T7" i="6"/>
  <c r="S7" i="6"/>
  <c r="R7" i="6"/>
  <c r="Q7" i="6"/>
  <c r="P7" i="6"/>
  <c r="O7" i="6"/>
  <c r="N7" i="6"/>
  <c r="M7" i="6"/>
  <c r="Q5" i="6"/>
  <c r="G5" i="6"/>
  <c r="B5" i="6"/>
  <c r="K233" i="1"/>
  <c r="K234" i="1"/>
  <c r="K235" i="1"/>
  <c r="K236" i="1"/>
  <c r="K232" i="1"/>
  <c r="K224" i="1"/>
  <c r="K225" i="1"/>
  <c r="K226" i="1"/>
  <c r="K227" i="1"/>
  <c r="K223" i="1"/>
  <c r="I230" i="1"/>
  <c r="H230" i="1"/>
  <c r="E1" i="6"/>
  <c r="D9" i="6"/>
  <c r="E9" i="6" s="1"/>
  <c r="D10" i="6" s="1"/>
  <c r="E10" i="6" s="1"/>
  <c r="D11" i="6" s="1"/>
  <c r="E11" i="6" s="1"/>
  <c r="D12" i="6" s="1"/>
  <c r="E12" i="6" s="1"/>
  <c r="D13" i="6" s="1"/>
  <c r="E13" i="6" s="1"/>
  <c r="D14" i="6" s="1"/>
  <c r="E14" i="6" s="1"/>
  <c r="D15" i="6" s="1"/>
  <c r="E15" i="6" s="1"/>
  <c r="D16" i="6" s="1"/>
  <c r="E16" i="6" s="1"/>
  <c r="D17" i="6" s="1"/>
  <c r="E17" i="6" s="1"/>
  <c r="D18" i="6" s="1"/>
  <c r="E18" i="6" s="1"/>
  <c r="D19" i="6" s="1"/>
  <c r="E19" i="6" s="1"/>
  <c r="D20" i="6" s="1"/>
  <c r="E20" i="6" s="1"/>
  <c r="D21" i="6" s="1"/>
  <c r="E21" i="6" s="1"/>
  <c r="D22" i="6" s="1"/>
  <c r="E22" i="6" s="1"/>
  <c r="D23" i="6" s="1"/>
  <c r="E23" i="6" s="1"/>
  <c r="D24" i="6" s="1"/>
  <c r="E24" i="6" s="1"/>
  <c r="D25" i="6" s="1"/>
  <c r="E25" i="6" s="1"/>
  <c r="D26" i="6" s="1"/>
  <c r="E26" i="6" s="1"/>
  <c r="D27" i="6" s="1"/>
  <c r="E27" i="6" s="1"/>
  <c r="G9" i="6"/>
  <c r="F11" i="6"/>
  <c r="G11" i="6"/>
  <c r="H11" i="6"/>
  <c r="I11" i="6"/>
  <c r="J11" i="6"/>
  <c r="F13" i="6"/>
  <c r="G13" i="6"/>
  <c r="H13" i="6"/>
  <c r="I13" i="6"/>
  <c r="J13" i="6"/>
  <c r="F15" i="6"/>
  <c r="G15" i="6"/>
  <c r="H15" i="6"/>
  <c r="I15" i="6"/>
  <c r="J15" i="6"/>
  <c r="F17" i="6"/>
  <c r="G17" i="6"/>
  <c r="H17" i="6"/>
  <c r="I17" i="6"/>
  <c r="J17" i="6"/>
  <c r="F19" i="6"/>
  <c r="G19" i="6"/>
  <c r="H19" i="6"/>
  <c r="I19" i="6"/>
  <c r="J19" i="6"/>
  <c r="F21" i="6"/>
  <c r="G21" i="6"/>
  <c r="H21" i="6"/>
  <c r="I21" i="6"/>
  <c r="J21" i="6"/>
  <c r="F23" i="6"/>
  <c r="G23" i="6"/>
  <c r="H23" i="6"/>
  <c r="I23" i="6"/>
  <c r="J23" i="6"/>
  <c r="F25" i="6"/>
  <c r="G25" i="6"/>
  <c r="H25" i="6"/>
  <c r="I25" i="6"/>
  <c r="J25" i="6"/>
  <c r="F27" i="6"/>
  <c r="G27" i="6"/>
  <c r="H27" i="6"/>
  <c r="I27" i="6"/>
  <c r="J27" i="6"/>
  <c r="H9" i="6"/>
  <c r="I9" i="6"/>
  <c r="J9" i="6"/>
  <c r="F9" i="6"/>
  <c r="D20" i="2"/>
  <c r="H21" i="2" s="1"/>
  <c r="H25" i="2" s="1"/>
  <c r="H20" i="2"/>
  <c r="G20" i="2"/>
  <c r="F20" i="2"/>
  <c r="E20" i="2"/>
  <c r="E33" i="2" s="1"/>
  <c r="C4" i="2"/>
  <c r="C2" i="2"/>
  <c r="C3" i="2"/>
  <c r="E31" i="2"/>
  <c r="E32" i="2"/>
  <c r="E30" i="2"/>
  <c r="E26" i="2"/>
  <c r="J218" i="1" l="1"/>
  <c r="G16" i="1"/>
  <c r="J150" i="1"/>
  <c r="J64" i="1"/>
  <c r="B64" i="1"/>
  <c r="P62" i="1"/>
  <c r="P79" i="1" s="1"/>
  <c r="G15" i="1"/>
  <c r="G19" i="1" s="1"/>
  <c r="I206" i="1" s="1"/>
  <c r="Q3" i="23"/>
  <c r="Q5" i="23"/>
  <c r="AK9" i="23"/>
  <c r="AO6" i="23"/>
  <c r="P7" i="25"/>
  <c r="AK33" i="23"/>
  <c r="AK25" i="23"/>
  <c r="AO4" i="23"/>
  <c r="U3" i="25"/>
  <c r="K8" i="25"/>
  <c r="K4" i="25"/>
  <c r="U9" i="25"/>
  <c r="AG7" i="23"/>
  <c r="AG5" i="23"/>
  <c r="AO10" i="23"/>
  <c r="AS6" i="23"/>
  <c r="AS4" i="23"/>
  <c r="K4" i="24"/>
  <c r="Z3" i="25"/>
  <c r="K7" i="25"/>
  <c r="P23" i="25"/>
  <c r="U11" i="25"/>
  <c r="U8" i="25"/>
  <c r="U5" i="25"/>
  <c r="E4" i="23"/>
  <c r="AK27" i="23"/>
  <c r="AK19" i="23"/>
  <c r="AK11" i="23"/>
  <c r="AO11" i="23"/>
  <c r="AO9" i="23"/>
  <c r="AO7" i="23"/>
  <c r="AO5" i="23"/>
  <c r="P19" i="25"/>
  <c r="Y4" i="23"/>
  <c r="AK29" i="23"/>
  <c r="AK21" i="23"/>
  <c r="AK13" i="23"/>
  <c r="AK5" i="23"/>
  <c r="P31" i="25"/>
  <c r="P15" i="25"/>
  <c r="AK31" i="23"/>
  <c r="AK23" i="23"/>
  <c r="AK15" i="23"/>
  <c r="AK7" i="23"/>
  <c r="P27" i="25"/>
  <c r="P11" i="25"/>
  <c r="W7" i="22"/>
  <c r="M4" i="23"/>
  <c r="P4" i="24"/>
  <c r="X6" i="22"/>
  <c r="Z6" i="22" s="1"/>
  <c r="AK3" i="23"/>
  <c r="A3" i="24"/>
  <c r="U3" i="24"/>
  <c r="P32" i="25"/>
  <c r="P28" i="25"/>
  <c r="P24" i="25"/>
  <c r="P20" i="25"/>
  <c r="P16" i="25"/>
  <c r="P12" i="25"/>
  <c r="P8" i="25"/>
  <c r="P4" i="25"/>
  <c r="U10" i="25"/>
  <c r="U6" i="25"/>
  <c r="Z4" i="25"/>
  <c r="J5" i="22"/>
  <c r="CA9" i="22"/>
  <c r="CJ34" i="22"/>
  <c r="AV35" i="23" s="1"/>
  <c r="M3" i="23"/>
  <c r="AK32" i="23"/>
  <c r="AK30" i="23"/>
  <c r="AK28" i="23"/>
  <c r="AK26" i="23"/>
  <c r="AK24" i="23"/>
  <c r="AK22" i="23"/>
  <c r="AK20" i="23"/>
  <c r="AK18" i="23"/>
  <c r="AK16" i="23"/>
  <c r="AK14" i="23"/>
  <c r="AK12" i="23"/>
  <c r="AK10" i="23"/>
  <c r="AK8" i="23"/>
  <c r="AK6" i="23"/>
  <c r="AK4" i="23"/>
  <c r="P3" i="24"/>
  <c r="A4" i="25"/>
  <c r="P29" i="25"/>
  <c r="P25" i="25"/>
  <c r="P21" i="25"/>
  <c r="P17" i="25"/>
  <c r="P13" i="25"/>
  <c r="P9" i="25"/>
  <c r="P5" i="25"/>
  <c r="C5" i="22"/>
  <c r="Q6" i="22"/>
  <c r="CJ31" i="22"/>
  <c r="W35" i="23" s="1"/>
  <c r="E46" i="22"/>
  <c r="AN46" i="22"/>
  <c r="Y3" i="23"/>
  <c r="A3" i="25"/>
  <c r="P30" i="25"/>
  <c r="P26" i="25"/>
  <c r="P22" i="25"/>
  <c r="P18" i="25"/>
  <c r="P14" i="25"/>
  <c r="P10" i="25"/>
  <c r="P6" i="25"/>
  <c r="B115" i="1"/>
  <c r="I150" i="1"/>
  <c r="Q5" i="22"/>
  <c r="CJ26" i="22"/>
  <c r="G37" i="23" s="1"/>
  <c r="D32" i="8"/>
  <c r="D30" i="8"/>
  <c r="BF12" i="22"/>
  <c r="AG9" i="23"/>
  <c r="K9" i="25"/>
  <c r="H237" i="1"/>
  <c r="I232" i="1"/>
  <c r="I237" i="1" s="1"/>
  <c r="C6" i="22"/>
  <c r="A4" i="24"/>
  <c r="J217" i="1"/>
  <c r="H62" i="1"/>
  <c r="H79" i="1" s="1"/>
  <c r="AR8" i="22"/>
  <c r="Y5" i="23"/>
  <c r="BT15" i="22"/>
  <c r="U12" i="25"/>
  <c r="BP46" i="22"/>
  <c r="CJ30" i="22"/>
  <c r="CJ33" i="22"/>
  <c r="AY6" i="22"/>
  <c r="F3" i="25"/>
  <c r="AD3" i="22"/>
  <c r="AE7" i="22" s="1"/>
  <c r="X7" i="22"/>
  <c r="X5" i="22"/>
  <c r="H93" i="1"/>
  <c r="I207" i="1" s="1"/>
  <c r="K81" i="1"/>
  <c r="B43" i="1"/>
  <c r="B98" i="1"/>
  <c r="CJ28" i="22"/>
  <c r="Z46" i="22"/>
  <c r="BB46" i="22"/>
  <c r="CD46" i="22"/>
  <c r="CJ27" i="22"/>
  <c r="L46" i="22"/>
  <c r="AU46" i="22"/>
  <c r="BW46" i="22"/>
  <c r="CJ29" i="22"/>
  <c r="CJ32" i="22"/>
  <c r="AE35" i="23" s="1"/>
  <c r="H109" i="1"/>
  <c r="I208" i="1" s="1"/>
  <c r="S46" i="22"/>
  <c r="AG46" i="22"/>
  <c r="BI46" i="22"/>
  <c r="H193" i="1"/>
  <c r="H200" i="1" s="1"/>
  <c r="I228" i="1"/>
  <c r="CA1" i="22"/>
  <c r="AY1" i="22"/>
  <c r="W1" i="22"/>
  <c r="BT1" i="22"/>
  <c r="AR1" i="22"/>
  <c r="P1" i="22"/>
  <c r="BM1" i="22"/>
  <c r="AK1" i="22"/>
  <c r="I1" i="22"/>
  <c r="F239" i="1"/>
  <c r="J219" i="1"/>
  <c r="L219" i="1" s="1"/>
  <c r="J72" i="1"/>
  <c r="B72" i="1"/>
  <c r="BF1" i="22"/>
  <c r="H228" i="1"/>
  <c r="D28" i="8"/>
  <c r="AD8" i="22"/>
  <c r="J6" i="22"/>
  <c r="I7" i="22"/>
  <c r="B7" i="22"/>
  <c r="P7" i="22"/>
  <c r="AK6" i="22"/>
  <c r="H150" i="1"/>
  <c r="I209" i="1" s="1"/>
  <c r="U38" i="24" l="1"/>
  <c r="I211" i="1"/>
  <c r="H80" i="1"/>
  <c r="I212" i="1"/>
  <c r="T37" i="24"/>
  <c r="H36" i="24"/>
  <c r="H37" i="25"/>
  <c r="Q4" i="24"/>
  <c r="N4" i="23"/>
  <c r="U39" i="25"/>
  <c r="T38" i="25"/>
  <c r="S6" i="22"/>
  <c r="J4" i="23"/>
  <c r="L4" i="24"/>
  <c r="CA10" i="22"/>
  <c r="AS7" i="23"/>
  <c r="Z7" i="25"/>
  <c r="S5" i="22"/>
  <c r="L3" i="24"/>
  <c r="J3" i="23"/>
  <c r="E5" i="22"/>
  <c r="B3" i="24"/>
  <c r="B3" i="23"/>
  <c r="L5" i="22"/>
  <c r="F3" i="23"/>
  <c r="G3" i="24"/>
  <c r="M5" i="23"/>
  <c r="P5" i="24"/>
  <c r="W8" i="22"/>
  <c r="O38" i="24"/>
  <c r="O38" i="25"/>
  <c r="O37" i="24"/>
  <c r="O35" i="23"/>
  <c r="O39" i="25"/>
  <c r="AE37" i="23"/>
  <c r="U37" i="25"/>
  <c r="U36" i="24"/>
  <c r="AK3" i="22"/>
  <c r="AE5" i="22"/>
  <c r="AE6" i="22"/>
  <c r="AR9" i="22"/>
  <c r="Y6" i="23"/>
  <c r="A6" i="25"/>
  <c r="E6" i="22"/>
  <c r="B4" i="23"/>
  <c r="B4" i="24"/>
  <c r="D34" i="8"/>
  <c r="O37" i="23"/>
  <c r="H37" i="24"/>
  <c r="H38" i="25"/>
  <c r="Z5" i="22"/>
  <c r="Q3" i="24"/>
  <c r="N3" i="23"/>
  <c r="BF13" i="22"/>
  <c r="K10" i="25"/>
  <c r="AG10" i="23"/>
  <c r="CJ35" i="22"/>
  <c r="G35" i="23" s="1"/>
  <c r="W37" i="23"/>
  <c r="H39" i="25"/>
  <c r="H38" i="24"/>
  <c r="Z7" i="22"/>
  <c r="N5" i="23"/>
  <c r="Q5" i="24"/>
  <c r="AY7" i="22"/>
  <c r="AC4" i="23"/>
  <c r="F4" i="25"/>
  <c r="U40" i="25"/>
  <c r="AM35" i="23"/>
  <c r="U39" i="24"/>
  <c r="BT16" i="22"/>
  <c r="U13" i="25"/>
  <c r="AO13" i="23"/>
  <c r="L6" i="22"/>
  <c r="F4" i="23"/>
  <c r="G4" i="24"/>
  <c r="P8" i="22"/>
  <c r="Q7" i="22"/>
  <c r="K5" i="24"/>
  <c r="I5" i="23"/>
  <c r="AD9" i="22"/>
  <c r="AE8" i="22"/>
  <c r="U6" i="24"/>
  <c r="Q6" i="23"/>
  <c r="B8" i="22"/>
  <c r="A5" i="24"/>
  <c r="C7" i="22"/>
  <c r="A5" i="23"/>
  <c r="AL6" i="22"/>
  <c r="AK7" i="22"/>
  <c r="Z4" i="24"/>
  <c r="U4" i="23"/>
  <c r="T4" i="24"/>
  <c r="P4" i="23"/>
  <c r="J7" i="22"/>
  <c r="F5" i="24"/>
  <c r="I8" i="22"/>
  <c r="E5" i="23"/>
  <c r="AG7" i="22"/>
  <c r="V5" i="24"/>
  <c r="R5" i="23"/>
  <c r="I213" i="1" l="1"/>
  <c r="J118" i="6" s="1"/>
  <c r="J220" i="1"/>
  <c r="F240" i="1"/>
  <c r="H40" i="25"/>
  <c r="O3" i="24"/>
  <c r="L3" i="23"/>
  <c r="W9" i="22"/>
  <c r="M6" i="23"/>
  <c r="P6" i="24"/>
  <c r="X8" i="22"/>
  <c r="D3" i="23"/>
  <c r="E3" i="24"/>
  <c r="H3" i="23"/>
  <c r="J3" i="24"/>
  <c r="O4" i="24"/>
  <c r="L4" i="23"/>
  <c r="CA11" i="22"/>
  <c r="AS8" i="23"/>
  <c r="Z8" i="25"/>
  <c r="BT17" i="22"/>
  <c r="U14" i="25"/>
  <c r="AO14" i="23"/>
  <c r="D4" i="23"/>
  <c r="E4" i="24"/>
  <c r="T5" i="24"/>
  <c r="P5" i="23"/>
  <c r="H39" i="24"/>
  <c r="AG5" i="22"/>
  <c r="V3" i="24"/>
  <c r="R3" i="23"/>
  <c r="BF14" i="22"/>
  <c r="AG11" i="23"/>
  <c r="K11" i="25"/>
  <c r="R4" i="23"/>
  <c r="AG6" i="22"/>
  <c r="V4" i="24"/>
  <c r="AM37" i="23"/>
  <c r="AY8" i="22"/>
  <c r="F5" i="25"/>
  <c r="AC5" i="23"/>
  <c r="BF3" i="22"/>
  <c r="AR3" i="22"/>
  <c r="BM3" i="22"/>
  <c r="AL5" i="22"/>
  <c r="CA3" i="22"/>
  <c r="AY3" i="22"/>
  <c r="BT3" i="22"/>
  <c r="T3" i="24"/>
  <c r="P3" i="23"/>
  <c r="AR10" i="22"/>
  <c r="Y7" i="23"/>
  <c r="A7" i="25"/>
  <c r="AG8" i="22"/>
  <c r="V6" i="24"/>
  <c r="R6" i="23"/>
  <c r="Q8" i="22"/>
  <c r="P9" i="22"/>
  <c r="K6" i="24"/>
  <c r="I6" i="23"/>
  <c r="J4" i="24"/>
  <c r="H4" i="23"/>
  <c r="J8" i="22"/>
  <c r="I9" i="22"/>
  <c r="F6" i="24"/>
  <c r="E6" i="23"/>
  <c r="E7" i="22"/>
  <c r="B5" i="24"/>
  <c r="B5" i="23"/>
  <c r="AD10" i="22"/>
  <c r="AE9" i="22"/>
  <c r="U7" i="24"/>
  <c r="Q7" i="23"/>
  <c r="Y5" i="24"/>
  <c r="T5" i="23"/>
  <c r="AL7" i="22"/>
  <c r="AK8" i="22"/>
  <c r="Z5" i="24"/>
  <c r="U5" i="23"/>
  <c r="L7" i="22"/>
  <c r="G5" i="24"/>
  <c r="F5" i="23"/>
  <c r="AN6" i="22"/>
  <c r="AA4" i="24"/>
  <c r="V4" i="23"/>
  <c r="C8" i="22"/>
  <c r="B9" i="22"/>
  <c r="A6" i="24"/>
  <c r="A6" i="23"/>
  <c r="S7" i="22"/>
  <c r="L5" i="24"/>
  <c r="J5" i="23"/>
  <c r="P7" i="24" l="1"/>
  <c r="M7" i="23"/>
  <c r="W10" i="22"/>
  <c r="X9" i="22"/>
  <c r="Z8" i="22"/>
  <c r="Q6" i="24"/>
  <c r="N6" i="23"/>
  <c r="CA12" i="22"/>
  <c r="Z9" i="25"/>
  <c r="AS9" i="23"/>
  <c r="CB5" i="22"/>
  <c r="CB8" i="22"/>
  <c r="CB11" i="22"/>
  <c r="CB6" i="22"/>
  <c r="CB10" i="22"/>
  <c r="CB12" i="22"/>
  <c r="CB9" i="22"/>
  <c r="CB7" i="22"/>
  <c r="BG11" i="22"/>
  <c r="BG9" i="22"/>
  <c r="BG7" i="22"/>
  <c r="BG5" i="22"/>
  <c r="BG13" i="22"/>
  <c r="BG10" i="22"/>
  <c r="BG6" i="22"/>
  <c r="BG8" i="22"/>
  <c r="BG12" i="22"/>
  <c r="BG14" i="22"/>
  <c r="BU16" i="22"/>
  <c r="BU5" i="22"/>
  <c r="BU10" i="22"/>
  <c r="BU12" i="22"/>
  <c r="BU6" i="22"/>
  <c r="BU7" i="22"/>
  <c r="BU15" i="22"/>
  <c r="BU17" i="22"/>
  <c r="BU8" i="22"/>
  <c r="BU14" i="22"/>
  <c r="BU9" i="22"/>
  <c r="BU11" i="22"/>
  <c r="BU13" i="22"/>
  <c r="BN32" i="22"/>
  <c r="BN26" i="22"/>
  <c r="BN17" i="22"/>
  <c r="BN27" i="22"/>
  <c r="BN15" i="22"/>
  <c r="BN10" i="22"/>
  <c r="BN18" i="22"/>
  <c r="BN7" i="22"/>
  <c r="BN29" i="22"/>
  <c r="BN16" i="22"/>
  <c r="BN9" i="22"/>
  <c r="BN30" i="22"/>
  <c r="BN24" i="22"/>
  <c r="BN13" i="22"/>
  <c r="BN25" i="22"/>
  <c r="BN11" i="22"/>
  <c r="BN8" i="22"/>
  <c r="BN14" i="22"/>
  <c r="BN5" i="22"/>
  <c r="BN35" i="22"/>
  <c r="BN21" i="22"/>
  <c r="BN19" i="22"/>
  <c r="BN33" i="22"/>
  <c r="BN28" i="22"/>
  <c r="BN22" i="22"/>
  <c r="BN20" i="22"/>
  <c r="BN23" i="22"/>
  <c r="BN31" i="22"/>
  <c r="BN6" i="22"/>
  <c r="BN12" i="22"/>
  <c r="BN34" i="22"/>
  <c r="Y4" i="24"/>
  <c r="T4" i="23"/>
  <c r="BF15" i="22"/>
  <c r="AG12" i="23"/>
  <c r="K12" i="25"/>
  <c r="AN5" i="22"/>
  <c r="V3" i="23"/>
  <c r="AA3" i="24"/>
  <c r="AR11" i="22"/>
  <c r="Y8" i="23"/>
  <c r="A8" i="25"/>
  <c r="AZ6" i="22"/>
  <c r="AZ5" i="22"/>
  <c r="AZ8" i="22"/>
  <c r="AZ7" i="22"/>
  <c r="AS9" i="22"/>
  <c r="AS7" i="22"/>
  <c r="AS5" i="22"/>
  <c r="AS10" i="22"/>
  <c r="AS8" i="22"/>
  <c r="AS6" i="22"/>
  <c r="AY9" i="22"/>
  <c r="AZ9" i="22" s="1"/>
  <c r="F6" i="25"/>
  <c r="AC6" i="23"/>
  <c r="Y3" i="24"/>
  <c r="T3" i="23"/>
  <c r="BT18" i="22"/>
  <c r="AO15" i="23"/>
  <c r="U15" i="25"/>
  <c r="AA5" i="24"/>
  <c r="V5" i="23"/>
  <c r="AN7" i="22"/>
  <c r="AG9" i="22"/>
  <c r="V7" i="24"/>
  <c r="R7" i="23"/>
  <c r="J9" i="22"/>
  <c r="F7" i="24"/>
  <c r="I10" i="22"/>
  <c r="E7" i="23"/>
  <c r="P10" i="22"/>
  <c r="Q9" i="22"/>
  <c r="K7" i="24"/>
  <c r="I7" i="23"/>
  <c r="Y6" i="24"/>
  <c r="T6" i="23"/>
  <c r="AD11" i="22"/>
  <c r="AE10" i="22"/>
  <c r="U8" i="24"/>
  <c r="Q8" i="23"/>
  <c r="L8" i="22"/>
  <c r="G6" i="24"/>
  <c r="F6" i="23"/>
  <c r="S8" i="22"/>
  <c r="L6" i="24"/>
  <c r="J6" i="23"/>
  <c r="O5" i="24"/>
  <c r="L5" i="23"/>
  <c r="B10" i="22"/>
  <c r="C9" i="22"/>
  <c r="A7" i="24"/>
  <c r="A7" i="23"/>
  <c r="AD4" i="24"/>
  <c r="X4" i="23"/>
  <c r="J5" i="24"/>
  <c r="H5" i="23"/>
  <c r="E8" i="22"/>
  <c r="B6" i="23"/>
  <c r="B6" i="24"/>
  <c r="AL8" i="22"/>
  <c r="AK9" i="22"/>
  <c r="Z6" i="24"/>
  <c r="U6" i="23"/>
  <c r="E5" i="24"/>
  <c r="D5" i="23"/>
  <c r="Z9" i="22" l="1"/>
  <c r="N7" i="23"/>
  <c r="Q7" i="24"/>
  <c r="W11" i="22"/>
  <c r="P8" i="24"/>
  <c r="M8" i="23"/>
  <c r="X10" i="22"/>
  <c r="CA13" i="22"/>
  <c r="Z10" i="25"/>
  <c r="AS10" i="23"/>
  <c r="T6" i="24"/>
  <c r="P6" i="23"/>
  <c r="BT19" i="22"/>
  <c r="U16" i="25"/>
  <c r="AO16" i="23"/>
  <c r="BU18" i="22"/>
  <c r="AU9" i="22"/>
  <c r="B7" i="25"/>
  <c r="Z7" i="23"/>
  <c r="AR12" i="22"/>
  <c r="Y9" i="23"/>
  <c r="A9" i="25"/>
  <c r="AS11" i="22"/>
  <c r="BP31" i="22"/>
  <c r="AL29" i="23"/>
  <c r="Q29" i="25"/>
  <c r="Q33" i="25"/>
  <c r="BP35" i="22"/>
  <c r="AL33" i="23"/>
  <c r="BP30" i="22"/>
  <c r="AL28" i="23"/>
  <c r="Q28" i="25"/>
  <c r="BP27" i="22"/>
  <c r="AL25" i="23"/>
  <c r="Q25" i="25"/>
  <c r="L10" i="25"/>
  <c r="AH10" i="23"/>
  <c r="BI12" i="22"/>
  <c r="BB8" i="22"/>
  <c r="G6" i="25"/>
  <c r="AD6" i="23"/>
  <c r="BI8" i="22"/>
  <c r="L6" i="25"/>
  <c r="AH6" i="23"/>
  <c r="AA5" i="25"/>
  <c r="CD7" i="22"/>
  <c r="AT5" i="23"/>
  <c r="AT9" i="23"/>
  <c r="CD11" i="22"/>
  <c r="AA9" i="25"/>
  <c r="CD5" i="22"/>
  <c r="AA3" i="25"/>
  <c r="AT3" i="23"/>
  <c r="BB7" i="22"/>
  <c r="AD5" i="23"/>
  <c r="G5" i="25"/>
  <c r="AD3" i="23"/>
  <c r="G3" i="25"/>
  <c r="BB5" i="22"/>
  <c r="AD7" i="23"/>
  <c r="BB9" i="22"/>
  <c r="G7" i="25"/>
  <c r="V9" i="25"/>
  <c r="BW11" i="22"/>
  <c r="AP9" i="23"/>
  <c r="V6" i="25"/>
  <c r="AP6" i="23"/>
  <c r="BW8" i="22"/>
  <c r="BW7" i="22"/>
  <c r="V5" i="25"/>
  <c r="AP5" i="23"/>
  <c r="BI6" i="22"/>
  <c r="L4" i="25"/>
  <c r="AH4" i="23"/>
  <c r="BI7" i="22"/>
  <c r="L5" i="25"/>
  <c r="AH5" i="23"/>
  <c r="AA10" i="25"/>
  <c r="AT10" i="23"/>
  <c r="CD12" i="22"/>
  <c r="AU10" i="22"/>
  <c r="B8" i="25"/>
  <c r="Z8" i="23"/>
  <c r="BP28" i="22"/>
  <c r="AL26" i="23"/>
  <c r="Q26" i="25"/>
  <c r="BP11" i="22"/>
  <c r="AL9" i="23"/>
  <c r="Q9" i="25"/>
  <c r="BP7" i="22"/>
  <c r="AL5" i="23"/>
  <c r="Q5" i="25"/>
  <c r="AP10" i="23"/>
  <c r="BW12" i="22"/>
  <c r="V10" i="25"/>
  <c r="BI14" i="22"/>
  <c r="AH12" i="23"/>
  <c r="L12" i="25"/>
  <c r="BI5" i="22"/>
  <c r="AH3" i="23"/>
  <c r="L3" i="25"/>
  <c r="CD9" i="22"/>
  <c r="AA7" i="25"/>
  <c r="AT7" i="23"/>
  <c r="AU7" i="22"/>
  <c r="B5" i="25"/>
  <c r="Z5" i="23"/>
  <c r="AD3" i="24"/>
  <c r="X3" i="23"/>
  <c r="Q4" i="25"/>
  <c r="AL4" i="23"/>
  <c r="BP6" i="22"/>
  <c r="Q20" i="25"/>
  <c r="BP22" i="22"/>
  <c r="AL20" i="23"/>
  <c r="BP21" i="22"/>
  <c r="AL19" i="23"/>
  <c r="Q19" i="25"/>
  <c r="Q6" i="25"/>
  <c r="BP8" i="22"/>
  <c r="AL6" i="23"/>
  <c r="BP24" i="22"/>
  <c r="Q22" i="25"/>
  <c r="AL22" i="23"/>
  <c r="Q27" i="25"/>
  <c r="AL27" i="23"/>
  <c r="BP29" i="22"/>
  <c r="AL13" i="23"/>
  <c r="Q13" i="25"/>
  <c r="BP15" i="22"/>
  <c r="AL30" i="23"/>
  <c r="Q30" i="25"/>
  <c r="BP32" i="22"/>
  <c r="AP15" i="23"/>
  <c r="BW17" i="22"/>
  <c r="V15" i="25"/>
  <c r="AU8" i="22"/>
  <c r="Z6" i="23"/>
  <c r="B6" i="25"/>
  <c r="AU5" i="22"/>
  <c r="B3" i="25"/>
  <c r="Z3" i="23"/>
  <c r="BB6" i="22"/>
  <c r="AD4" i="23"/>
  <c r="G4" i="25"/>
  <c r="BF16" i="22"/>
  <c r="K13" i="25"/>
  <c r="AG13" i="23"/>
  <c r="AL10" i="23"/>
  <c r="BP12" i="22"/>
  <c r="Q10" i="25"/>
  <c r="AL18" i="23"/>
  <c r="BP20" i="22"/>
  <c r="Q18" i="25"/>
  <c r="Q17" i="25"/>
  <c r="BP19" i="22"/>
  <c r="AL17" i="23"/>
  <c r="AL12" i="23"/>
  <c r="BP14" i="22"/>
  <c r="Q12" i="25"/>
  <c r="AL11" i="23"/>
  <c r="Q11" i="25"/>
  <c r="BP13" i="22"/>
  <c r="BP16" i="22"/>
  <c r="Q14" i="25"/>
  <c r="AL14" i="23"/>
  <c r="Q8" i="25"/>
  <c r="AL8" i="23"/>
  <c r="BP10" i="22"/>
  <c r="Q24" i="25"/>
  <c r="BP26" i="22"/>
  <c r="AL24" i="23"/>
  <c r="BW14" i="22"/>
  <c r="V12" i="25"/>
  <c r="AP12" i="23"/>
  <c r="BW15" i="22"/>
  <c r="V13" i="25"/>
  <c r="AP13" i="23"/>
  <c r="BW5" i="22"/>
  <c r="V3" i="25"/>
  <c r="AP3" i="23"/>
  <c r="BI13" i="22"/>
  <c r="AH11" i="23"/>
  <c r="L11" i="25"/>
  <c r="BI11" i="22"/>
  <c r="L9" i="25"/>
  <c r="AH9" i="23"/>
  <c r="AA4" i="25"/>
  <c r="AT4" i="23"/>
  <c r="CD6" i="22"/>
  <c r="AT6" i="23"/>
  <c r="CD8" i="22"/>
  <c r="AA6" i="25"/>
  <c r="AY10" i="22"/>
  <c r="AC7" i="23"/>
  <c r="F7" i="25"/>
  <c r="AU6" i="22"/>
  <c r="B4" i="25"/>
  <c r="Z4" i="23"/>
  <c r="BP34" i="22"/>
  <c r="AL32" i="23"/>
  <c r="Q32" i="25"/>
  <c r="Q21" i="25"/>
  <c r="BP23" i="22"/>
  <c r="AL21" i="23"/>
  <c r="Q31" i="25"/>
  <c r="BP33" i="22"/>
  <c r="AL31" i="23"/>
  <c r="BS42" i="22"/>
  <c r="BP5" i="22"/>
  <c r="BS41" i="22"/>
  <c r="Q3" i="25"/>
  <c r="BS38" i="22"/>
  <c r="AL3" i="23"/>
  <c r="BS37" i="22"/>
  <c r="BS39" i="22"/>
  <c r="BS40" i="22"/>
  <c r="BS43" i="22"/>
  <c r="Q23" i="25"/>
  <c r="BP25" i="22"/>
  <c r="AL23" i="23"/>
  <c r="Q7" i="25"/>
  <c r="BP9" i="22"/>
  <c r="AL7" i="23"/>
  <c r="Q16" i="25"/>
  <c r="BP18" i="22"/>
  <c r="AL16" i="23"/>
  <c r="BP17" i="22"/>
  <c r="Q15" i="25"/>
  <c r="AL15" i="23"/>
  <c r="V11" i="25"/>
  <c r="BW13" i="22"/>
  <c r="AP11" i="23"/>
  <c r="BW9" i="22"/>
  <c r="V7" i="25"/>
  <c r="AP7" i="23"/>
  <c r="AP4" i="23"/>
  <c r="BW6" i="22"/>
  <c r="V4" i="25"/>
  <c r="BW10" i="22"/>
  <c r="AP8" i="23"/>
  <c r="V8" i="25"/>
  <c r="BW16" i="22"/>
  <c r="AP14" i="23"/>
  <c r="V14" i="25"/>
  <c r="BG15" i="22"/>
  <c r="BI10" i="22"/>
  <c r="L8" i="25"/>
  <c r="AH8" i="23"/>
  <c r="BI9" i="22"/>
  <c r="L7" i="25"/>
  <c r="AH7" i="23"/>
  <c r="AA8" i="25"/>
  <c r="CD10" i="22"/>
  <c r="AT8" i="23"/>
  <c r="AN8" i="22"/>
  <c r="AA6" i="24"/>
  <c r="V6" i="23"/>
  <c r="E6" i="24"/>
  <c r="D6" i="23"/>
  <c r="E9" i="22"/>
  <c r="B7" i="24"/>
  <c r="B7" i="23"/>
  <c r="O6" i="24"/>
  <c r="L6" i="23"/>
  <c r="AG10" i="22"/>
  <c r="V8" i="24"/>
  <c r="R8" i="23"/>
  <c r="J10" i="22"/>
  <c r="I11" i="22"/>
  <c r="F8" i="24"/>
  <c r="E8" i="23"/>
  <c r="AL9" i="22"/>
  <c r="AK10" i="22"/>
  <c r="Z7" i="24"/>
  <c r="U7" i="23"/>
  <c r="C10" i="22"/>
  <c r="B11" i="22"/>
  <c r="A8" i="24"/>
  <c r="A8" i="23"/>
  <c r="AD12" i="22"/>
  <c r="AE11" i="22"/>
  <c r="U9" i="24"/>
  <c r="Q9" i="23"/>
  <c r="S9" i="22"/>
  <c r="L7" i="24"/>
  <c r="J7" i="23"/>
  <c r="Y7" i="24"/>
  <c r="T7" i="23"/>
  <c r="H6" i="23"/>
  <c r="J6" i="24"/>
  <c r="Q10" i="22"/>
  <c r="P11" i="22"/>
  <c r="K8" i="24"/>
  <c r="I8" i="23"/>
  <c r="L9" i="22"/>
  <c r="G7" i="24"/>
  <c r="F7" i="23"/>
  <c r="AD5" i="24"/>
  <c r="X5" i="23"/>
  <c r="CA14" i="22" l="1"/>
  <c r="AS11" i="23"/>
  <c r="Z11" i="25"/>
  <c r="CB13" i="22"/>
  <c r="P9" i="24"/>
  <c r="M9" i="23"/>
  <c r="X11" i="22"/>
  <c r="W12" i="22"/>
  <c r="N8" i="23"/>
  <c r="Z10" i="22"/>
  <c r="Q8" i="24"/>
  <c r="P7" i="23"/>
  <c r="T7" i="24"/>
  <c r="AD8" i="25"/>
  <c r="AV8" i="23"/>
  <c r="T15" i="25"/>
  <c r="AN15" i="23"/>
  <c r="AN23" i="23"/>
  <c r="T23" i="25"/>
  <c r="O8" i="25"/>
  <c r="AJ8" i="23"/>
  <c r="T7" i="25"/>
  <c r="AN7" i="23"/>
  <c r="O9" i="25"/>
  <c r="AJ9" i="23"/>
  <c r="AN14" i="23"/>
  <c r="T14" i="25"/>
  <c r="E3" i="25"/>
  <c r="AB3" i="23"/>
  <c r="T19" i="25"/>
  <c r="AN19" i="23"/>
  <c r="E8" i="25"/>
  <c r="AB8" i="23"/>
  <c r="AV9" i="23"/>
  <c r="AD9" i="25"/>
  <c r="BW18" i="22"/>
  <c r="AP16" i="23"/>
  <c r="V16" i="25"/>
  <c r="O7" i="25"/>
  <c r="AJ7" i="23"/>
  <c r="BI15" i="22"/>
  <c r="L13" i="25"/>
  <c r="AH13" i="23"/>
  <c r="AR4" i="23"/>
  <c r="Y4" i="25"/>
  <c r="AR7" i="23"/>
  <c r="Y7" i="25"/>
  <c r="AN16" i="23"/>
  <c r="T16" i="25"/>
  <c r="AY11" i="22"/>
  <c r="F8" i="25"/>
  <c r="AC8" i="23"/>
  <c r="AZ10" i="22"/>
  <c r="AV6" i="23"/>
  <c r="AD6" i="25"/>
  <c r="Y3" i="25"/>
  <c r="AR3" i="23"/>
  <c r="AN24" i="23"/>
  <c r="T24" i="25"/>
  <c r="AN11" i="23"/>
  <c r="T11" i="25"/>
  <c r="AN12" i="23"/>
  <c r="T12" i="25"/>
  <c r="AF4" i="23"/>
  <c r="J4" i="25"/>
  <c r="AR15" i="23"/>
  <c r="Y15" i="25"/>
  <c r="AN27" i="23"/>
  <c r="T27" i="25"/>
  <c r="AJ12" i="23"/>
  <c r="O12" i="25"/>
  <c r="AN26" i="23"/>
  <c r="T26" i="25"/>
  <c r="AF6" i="23"/>
  <c r="J6" i="25"/>
  <c r="AU11" i="22"/>
  <c r="B9" i="25"/>
  <c r="Z9" i="23"/>
  <c r="AR8" i="23"/>
  <c r="Y8" i="25"/>
  <c r="Y11" i="25"/>
  <c r="AR11" i="23"/>
  <c r="AR14" i="23"/>
  <c r="Y14" i="25"/>
  <c r="AN31" i="23"/>
  <c r="T31" i="25"/>
  <c r="Y13" i="25"/>
  <c r="AR13" i="23"/>
  <c r="AN17" i="23"/>
  <c r="T17" i="25"/>
  <c r="T6" i="25"/>
  <c r="AN6" i="23"/>
  <c r="AN4" i="23"/>
  <c r="T4" i="25"/>
  <c r="AD10" i="25"/>
  <c r="AV10" i="23"/>
  <c r="O5" i="25"/>
  <c r="AJ5" i="23"/>
  <c r="AF5" i="23"/>
  <c r="J5" i="25"/>
  <c r="AN33" i="23"/>
  <c r="T33" i="25"/>
  <c r="AN29" i="23"/>
  <c r="T29" i="25"/>
  <c r="AR13" i="22"/>
  <c r="Y10" i="23"/>
  <c r="A10" i="25"/>
  <c r="AS12" i="22"/>
  <c r="AN3" i="23"/>
  <c r="T3" i="25"/>
  <c r="E4" i="25"/>
  <c r="AB4" i="23"/>
  <c r="AV4" i="23"/>
  <c r="AD4" i="25"/>
  <c r="AN10" i="23"/>
  <c r="T10" i="25"/>
  <c r="BF17" i="22"/>
  <c r="K14" i="25"/>
  <c r="AG14" i="23"/>
  <c r="BG16" i="22"/>
  <c r="T13" i="25"/>
  <c r="AN13" i="23"/>
  <c r="AN22" i="23"/>
  <c r="T22" i="25"/>
  <c r="AN20" i="23"/>
  <c r="T20" i="25"/>
  <c r="O3" i="25"/>
  <c r="AJ3" i="23"/>
  <c r="AN9" i="23"/>
  <c r="T9" i="25"/>
  <c r="AR5" i="23"/>
  <c r="Y5" i="25"/>
  <c r="AF7" i="23"/>
  <c r="J7" i="25"/>
  <c r="AF3" i="23"/>
  <c r="J3" i="25"/>
  <c r="AV3" i="23"/>
  <c r="AD3" i="25"/>
  <c r="AV5" i="23"/>
  <c r="AD5" i="25"/>
  <c r="AJ6" i="23"/>
  <c r="O6" i="25"/>
  <c r="AJ10" i="23"/>
  <c r="O10" i="25"/>
  <c r="AN28" i="23"/>
  <c r="T28" i="25"/>
  <c r="AN21" i="23"/>
  <c r="T21" i="25"/>
  <c r="AN32" i="23"/>
  <c r="T32" i="25"/>
  <c r="AJ11" i="23"/>
  <c r="O11" i="25"/>
  <c r="AR12" i="23"/>
  <c r="Y12" i="25"/>
  <c r="AN8" i="23"/>
  <c r="T8" i="25"/>
  <c r="T18" i="25"/>
  <c r="AN18" i="23"/>
  <c r="E6" i="25"/>
  <c r="AB6" i="23"/>
  <c r="AN30" i="23"/>
  <c r="T30" i="25"/>
  <c r="E5" i="25"/>
  <c r="AB5" i="23"/>
  <c r="AV7" i="23"/>
  <c r="AD7" i="25"/>
  <c r="AR10" i="23"/>
  <c r="Y10" i="25"/>
  <c r="T5" i="25"/>
  <c r="AN5" i="23"/>
  <c r="AJ4" i="23"/>
  <c r="O4" i="25"/>
  <c r="AR6" i="23"/>
  <c r="Y6" i="25"/>
  <c r="Y9" i="25"/>
  <c r="AR9" i="23"/>
  <c r="AN25" i="23"/>
  <c r="T25" i="25"/>
  <c r="E7" i="25"/>
  <c r="AB7" i="23"/>
  <c r="BT20" i="22"/>
  <c r="U17" i="25"/>
  <c r="AO17" i="23"/>
  <c r="BU19" i="22"/>
  <c r="E10" i="22"/>
  <c r="B8" i="24"/>
  <c r="B8" i="23"/>
  <c r="J7" i="24"/>
  <c r="H7" i="23"/>
  <c r="S10" i="22"/>
  <c r="L8" i="24"/>
  <c r="J8" i="23"/>
  <c r="AL10" i="22"/>
  <c r="Z8" i="24"/>
  <c r="AK11" i="22"/>
  <c r="U8" i="23"/>
  <c r="J11" i="22"/>
  <c r="I12" i="22"/>
  <c r="F9" i="24"/>
  <c r="E9" i="23"/>
  <c r="E7" i="24"/>
  <c r="D7" i="23"/>
  <c r="AD6" i="24"/>
  <c r="X6" i="23"/>
  <c r="O7" i="24"/>
  <c r="L7" i="23"/>
  <c r="AG11" i="22"/>
  <c r="V9" i="24"/>
  <c r="R9" i="23"/>
  <c r="AN9" i="22"/>
  <c r="AA7" i="24"/>
  <c r="V7" i="23"/>
  <c r="L10" i="22"/>
  <c r="F8" i="23"/>
  <c r="G8" i="24"/>
  <c r="Y8" i="24"/>
  <c r="T8" i="23"/>
  <c r="P12" i="22"/>
  <c r="K9" i="24"/>
  <c r="Q11" i="22"/>
  <c r="I9" i="23"/>
  <c r="AD13" i="22"/>
  <c r="AE12" i="22"/>
  <c r="U10" i="24"/>
  <c r="Q10" i="23"/>
  <c r="B12" i="22"/>
  <c r="C11" i="22"/>
  <c r="A9" i="24"/>
  <c r="A9" i="23"/>
  <c r="Q9" i="24" l="1"/>
  <c r="Z11" i="22"/>
  <c r="N9" i="23"/>
  <c r="AA11" i="25"/>
  <c r="CD13" i="22"/>
  <c r="AT11" i="23"/>
  <c r="P8" i="23"/>
  <c r="T8" i="24"/>
  <c r="X12" i="22"/>
  <c r="W13" i="22"/>
  <c r="M10" i="23"/>
  <c r="P10" i="24"/>
  <c r="CA15" i="22"/>
  <c r="Z12" i="25"/>
  <c r="AS12" i="23"/>
  <c r="CB14" i="22"/>
  <c r="V17" i="25"/>
  <c r="BW19" i="22"/>
  <c r="AP17" i="23"/>
  <c r="E9" i="25"/>
  <c r="AB9" i="23"/>
  <c r="BF18" i="22"/>
  <c r="K15" i="25"/>
  <c r="AG15" i="23"/>
  <c r="BG17" i="22"/>
  <c r="AY12" i="22"/>
  <c r="F9" i="25"/>
  <c r="AC9" i="23"/>
  <c r="AZ11" i="22"/>
  <c r="AH14" i="23"/>
  <c r="BI16" i="22"/>
  <c r="L14" i="25"/>
  <c r="G8" i="25"/>
  <c r="AD8" i="23"/>
  <c r="BB10" i="22"/>
  <c r="AJ13" i="23"/>
  <c r="O13" i="25"/>
  <c r="AU12" i="22"/>
  <c r="Z10" i="23"/>
  <c r="B10" i="25"/>
  <c r="BT21" i="22"/>
  <c r="AO18" i="23"/>
  <c r="U18" i="25"/>
  <c r="BU20" i="22"/>
  <c r="AR14" i="22"/>
  <c r="Y11" i="23"/>
  <c r="A11" i="25"/>
  <c r="AS13" i="22"/>
  <c r="AR16" i="23"/>
  <c r="Y16" i="25"/>
  <c r="AD14" i="22"/>
  <c r="U11" i="24"/>
  <c r="AE13" i="22"/>
  <c r="Q11" i="23"/>
  <c r="Y9" i="24"/>
  <c r="T9" i="23"/>
  <c r="S11" i="22"/>
  <c r="L9" i="24"/>
  <c r="J9" i="23"/>
  <c r="L11" i="22"/>
  <c r="G9" i="24"/>
  <c r="F9" i="23"/>
  <c r="AN10" i="22"/>
  <c r="AA8" i="24"/>
  <c r="V8" i="23"/>
  <c r="C12" i="22"/>
  <c r="B13" i="22"/>
  <c r="A10" i="24"/>
  <c r="A10" i="23"/>
  <c r="J12" i="22"/>
  <c r="I13" i="22"/>
  <c r="F10" i="24"/>
  <c r="E10" i="23"/>
  <c r="O8" i="24"/>
  <c r="L8" i="23"/>
  <c r="J8" i="24"/>
  <c r="H8" i="23"/>
  <c r="AD7" i="24"/>
  <c r="X7" i="23"/>
  <c r="E11" i="22"/>
  <c r="B9" i="24"/>
  <c r="B9" i="23"/>
  <c r="AG12" i="22"/>
  <c r="V10" i="24"/>
  <c r="R10" i="23"/>
  <c r="Q12" i="22"/>
  <c r="P13" i="22"/>
  <c r="K10" i="24"/>
  <c r="I10" i="23"/>
  <c r="AL11" i="22"/>
  <c r="AK12" i="22"/>
  <c r="Z9" i="24"/>
  <c r="U9" i="23"/>
  <c r="E8" i="24"/>
  <c r="D8" i="23"/>
  <c r="CD14" i="22" l="1"/>
  <c r="AA12" i="25"/>
  <c r="AT12" i="23"/>
  <c r="AV11" i="23"/>
  <c r="AD11" i="25"/>
  <c r="T9" i="24"/>
  <c r="P9" i="23"/>
  <c r="CA16" i="22"/>
  <c r="Z13" i="25"/>
  <c r="AS13" i="23"/>
  <c r="CB15" i="22"/>
  <c r="Z12" i="22"/>
  <c r="Q10" i="24"/>
  <c r="N10" i="23"/>
  <c r="M11" i="23"/>
  <c r="P11" i="24"/>
  <c r="W14" i="22"/>
  <c r="X13" i="22"/>
  <c r="E10" i="25"/>
  <c r="AB10" i="23"/>
  <c r="AD9" i="23"/>
  <c r="G9" i="25"/>
  <c r="BB11" i="22"/>
  <c r="BF19" i="22"/>
  <c r="AG16" i="23"/>
  <c r="K16" i="25"/>
  <c r="BG18" i="22"/>
  <c r="AU13" i="22"/>
  <c r="Z11" i="23"/>
  <c r="B11" i="25"/>
  <c r="V18" i="25"/>
  <c r="AP18" i="23"/>
  <c r="BW20" i="22"/>
  <c r="AF8" i="23"/>
  <c r="J8" i="25"/>
  <c r="AJ14" i="23"/>
  <c r="O14" i="25"/>
  <c r="AH15" i="23"/>
  <c r="L15" i="25"/>
  <c r="BI17" i="22"/>
  <c r="AR17" i="23"/>
  <c r="Y17" i="25"/>
  <c r="AR15" i="22"/>
  <c r="A12" i="25"/>
  <c r="Y12" i="23"/>
  <c r="AS14" i="22"/>
  <c r="BT22" i="22"/>
  <c r="U19" i="25"/>
  <c r="AO19" i="23"/>
  <c r="BU21" i="22"/>
  <c r="AY13" i="22"/>
  <c r="F10" i="25"/>
  <c r="AC10" i="23"/>
  <c r="AZ12" i="22"/>
  <c r="J13" i="22"/>
  <c r="F11" i="24"/>
  <c r="I14" i="22"/>
  <c r="E11" i="23"/>
  <c r="B14" i="22"/>
  <c r="C13" i="22"/>
  <c r="A11" i="24"/>
  <c r="A11" i="23"/>
  <c r="AG13" i="22"/>
  <c r="V11" i="24"/>
  <c r="R11" i="23"/>
  <c r="AL12" i="22"/>
  <c r="AK13" i="22"/>
  <c r="Z10" i="24"/>
  <c r="U10" i="23"/>
  <c r="P14" i="22"/>
  <c r="Q13" i="22"/>
  <c r="K11" i="24"/>
  <c r="I11" i="23"/>
  <c r="Y10" i="24"/>
  <c r="T10" i="23"/>
  <c r="L12" i="22"/>
  <c r="G10" i="24"/>
  <c r="F10" i="23"/>
  <c r="E12" i="22"/>
  <c r="B10" i="24"/>
  <c r="B10" i="23"/>
  <c r="AD8" i="24"/>
  <c r="X8" i="23"/>
  <c r="J9" i="24"/>
  <c r="H9" i="23"/>
  <c r="AA9" i="24"/>
  <c r="AN11" i="22"/>
  <c r="V9" i="23"/>
  <c r="S12" i="22"/>
  <c r="L10" i="24"/>
  <c r="J10" i="23"/>
  <c r="E9" i="24"/>
  <c r="D9" i="23"/>
  <c r="O9" i="24"/>
  <c r="L9" i="23"/>
  <c r="AE14" i="22"/>
  <c r="AD15" i="22"/>
  <c r="U12" i="24"/>
  <c r="Q12" i="23"/>
  <c r="AT13" i="23" l="1"/>
  <c r="AA13" i="25"/>
  <c r="CD15" i="22"/>
  <c r="N11" i="23"/>
  <c r="Z13" i="22"/>
  <c r="Q11" i="24"/>
  <c r="P12" i="24"/>
  <c r="M12" i="23"/>
  <c r="X14" i="22"/>
  <c r="T10" i="24"/>
  <c r="P10" i="23"/>
  <c r="CA17" i="22"/>
  <c r="Z14" i="25"/>
  <c r="AS14" i="23"/>
  <c r="CB16" i="22"/>
  <c r="AV12" i="23"/>
  <c r="AD12" i="25"/>
  <c r="AJ15" i="23"/>
  <c r="O15" i="25"/>
  <c r="AY14" i="22"/>
  <c r="AC11" i="23"/>
  <c r="F11" i="25"/>
  <c r="AZ13" i="22"/>
  <c r="V19" i="25"/>
  <c r="BW21" i="22"/>
  <c r="AP19" i="23"/>
  <c r="AU14" i="22"/>
  <c r="Z12" i="23"/>
  <c r="B12" i="25"/>
  <c r="AB11" i="23"/>
  <c r="E11" i="25"/>
  <c r="BF20" i="22"/>
  <c r="K17" i="25"/>
  <c r="AG17" i="23"/>
  <c r="BG19" i="22"/>
  <c r="BT23" i="22"/>
  <c r="U20" i="25"/>
  <c r="AO20" i="23"/>
  <c r="BU22" i="22"/>
  <c r="AR16" i="22"/>
  <c r="A13" i="25"/>
  <c r="Y13" i="23"/>
  <c r="AS15" i="22"/>
  <c r="AR18" i="23"/>
  <c r="Y18" i="25"/>
  <c r="G10" i="25"/>
  <c r="AD10" i="23"/>
  <c r="BB12" i="22"/>
  <c r="BI18" i="22"/>
  <c r="L16" i="25"/>
  <c r="AH16" i="23"/>
  <c r="J9" i="25"/>
  <c r="AF9" i="23"/>
  <c r="AG14" i="22"/>
  <c r="V12" i="24"/>
  <c r="R12" i="23"/>
  <c r="L11" i="24"/>
  <c r="S13" i="22"/>
  <c r="J11" i="23"/>
  <c r="Q14" i="22"/>
  <c r="P15" i="22"/>
  <c r="K12" i="24"/>
  <c r="I12" i="23"/>
  <c r="Y11" i="24"/>
  <c r="T11" i="23"/>
  <c r="C14" i="22"/>
  <c r="B15" i="22"/>
  <c r="A12" i="24"/>
  <c r="A12" i="23"/>
  <c r="L13" i="22"/>
  <c r="G11" i="24"/>
  <c r="F11" i="23"/>
  <c r="AD9" i="24"/>
  <c r="X9" i="23"/>
  <c r="J10" i="24"/>
  <c r="H10" i="23"/>
  <c r="AL13" i="22"/>
  <c r="AK14" i="22"/>
  <c r="Z11" i="24"/>
  <c r="U11" i="23"/>
  <c r="E13" i="22"/>
  <c r="B11" i="24"/>
  <c r="B11" i="23"/>
  <c r="AD16" i="22"/>
  <c r="AE15" i="22"/>
  <c r="U13" i="24"/>
  <c r="Q13" i="23"/>
  <c r="O10" i="24"/>
  <c r="L10" i="23"/>
  <c r="E10" i="24"/>
  <c r="D10" i="23"/>
  <c r="AN12" i="22"/>
  <c r="AA10" i="24"/>
  <c r="V10" i="23"/>
  <c r="J14" i="22"/>
  <c r="I15" i="22"/>
  <c r="F12" i="24"/>
  <c r="E12" i="23"/>
  <c r="M13" i="23" l="1"/>
  <c r="P13" i="24"/>
  <c r="X15" i="22"/>
  <c r="W16" i="22"/>
  <c r="AV13" i="23"/>
  <c r="AD13" i="25"/>
  <c r="CA18" i="22"/>
  <c r="AS15" i="23"/>
  <c r="Z15" i="25"/>
  <c r="CB17" i="22"/>
  <c r="Z14" i="22"/>
  <c r="N12" i="23"/>
  <c r="Q12" i="24"/>
  <c r="AA14" i="25"/>
  <c r="AT14" i="23"/>
  <c r="CD16" i="22"/>
  <c r="P11" i="23"/>
  <c r="T11" i="24"/>
  <c r="O16" i="25"/>
  <c r="AJ16" i="23"/>
  <c r="AF10" i="23"/>
  <c r="J10" i="25"/>
  <c r="A14" i="25"/>
  <c r="Y14" i="23"/>
  <c r="AR17" i="22"/>
  <c r="AS16" i="22"/>
  <c r="BT24" i="22"/>
  <c r="U21" i="25"/>
  <c r="AO21" i="23"/>
  <c r="BU23" i="22"/>
  <c r="BF21" i="22"/>
  <c r="K18" i="25"/>
  <c r="AG18" i="23"/>
  <c r="BG20" i="22"/>
  <c r="Y19" i="25"/>
  <c r="AR19" i="23"/>
  <c r="B13" i="25"/>
  <c r="AU15" i="22"/>
  <c r="Z13" i="23"/>
  <c r="BI19" i="22"/>
  <c r="AH17" i="23"/>
  <c r="L17" i="25"/>
  <c r="E12" i="25"/>
  <c r="AB12" i="23"/>
  <c r="AY15" i="22"/>
  <c r="F12" i="25"/>
  <c r="AC12" i="23"/>
  <c r="AZ14" i="22"/>
  <c r="BB13" i="22"/>
  <c r="G11" i="25"/>
  <c r="AD11" i="23"/>
  <c r="V20" i="25"/>
  <c r="AP20" i="23"/>
  <c r="BW22" i="22"/>
  <c r="AG15" i="22"/>
  <c r="R13" i="23"/>
  <c r="V13" i="24"/>
  <c r="E11" i="24"/>
  <c r="D11" i="23"/>
  <c r="AN13" i="22"/>
  <c r="AA11" i="24"/>
  <c r="V11" i="23"/>
  <c r="S14" i="22"/>
  <c r="L12" i="24"/>
  <c r="J12" i="23"/>
  <c r="O11" i="24"/>
  <c r="L11" i="23"/>
  <c r="AL14" i="22"/>
  <c r="AK15" i="22"/>
  <c r="Z12" i="24"/>
  <c r="U12" i="23"/>
  <c r="J11" i="24"/>
  <c r="H11" i="23"/>
  <c r="E14" i="22"/>
  <c r="B12" i="24"/>
  <c r="B12" i="23"/>
  <c r="P16" i="22"/>
  <c r="Q15" i="22"/>
  <c r="K13" i="24"/>
  <c r="I13" i="23"/>
  <c r="J15" i="22"/>
  <c r="F13" i="24"/>
  <c r="I16" i="22"/>
  <c r="E13" i="23"/>
  <c r="AD10" i="24"/>
  <c r="X10" i="23"/>
  <c r="AD17" i="22"/>
  <c r="AE16" i="22"/>
  <c r="U14" i="24"/>
  <c r="Q14" i="23"/>
  <c r="L14" i="22"/>
  <c r="F12" i="23"/>
  <c r="G12" i="24"/>
  <c r="B16" i="22"/>
  <c r="A13" i="24"/>
  <c r="C15" i="22"/>
  <c r="A13" i="23"/>
  <c r="Y12" i="24"/>
  <c r="T12" i="23"/>
  <c r="AT15" i="23" l="1"/>
  <c r="CD17" i="22"/>
  <c r="AA15" i="25"/>
  <c r="N13" i="23"/>
  <c r="Z15" i="22"/>
  <c r="Q13" i="24"/>
  <c r="P12" i="23"/>
  <c r="T12" i="24"/>
  <c r="CA19" i="22"/>
  <c r="Z16" i="25"/>
  <c r="AS16" i="23"/>
  <c r="CB18" i="22"/>
  <c r="AV14" i="23"/>
  <c r="AD14" i="25"/>
  <c r="M14" i="23"/>
  <c r="X16" i="22"/>
  <c r="W17" i="22"/>
  <c r="P14" i="24"/>
  <c r="AR20" i="23"/>
  <c r="Y20" i="25"/>
  <c r="AY16" i="22"/>
  <c r="F13" i="25"/>
  <c r="AC13" i="23"/>
  <c r="AZ15" i="22"/>
  <c r="G12" i="25"/>
  <c r="BB14" i="22"/>
  <c r="AD12" i="23"/>
  <c r="AJ17" i="23"/>
  <c r="O17" i="25"/>
  <c r="BF22" i="22"/>
  <c r="K19" i="25"/>
  <c r="AG19" i="23"/>
  <c r="BG21" i="22"/>
  <c r="BT25" i="22"/>
  <c r="U22" i="25"/>
  <c r="AO22" i="23"/>
  <c r="BU24" i="22"/>
  <c r="AR18" i="22"/>
  <c r="A15" i="25"/>
  <c r="Y15" i="23"/>
  <c r="AS17" i="22"/>
  <c r="AF11" i="23"/>
  <c r="J11" i="25"/>
  <c r="AB13" i="23"/>
  <c r="E13" i="25"/>
  <c r="L18" i="25"/>
  <c r="AH18" i="23"/>
  <c r="BI20" i="22"/>
  <c r="BW23" i="22"/>
  <c r="V21" i="25"/>
  <c r="AP21" i="23"/>
  <c r="AU16" i="22"/>
  <c r="B14" i="25"/>
  <c r="Z14" i="23"/>
  <c r="L15" i="22"/>
  <c r="G13" i="24"/>
  <c r="F13" i="23"/>
  <c r="Q16" i="22"/>
  <c r="P17" i="22"/>
  <c r="K14" i="24"/>
  <c r="I14" i="23"/>
  <c r="AL15" i="22"/>
  <c r="AK16" i="22"/>
  <c r="Z13" i="24"/>
  <c r="U13" i="23"/>
  <c r="E15" i="22"/>
  <c r="B13" i="24"/>
  <c r="B13" i="23"/>
  <c r="J12" i="24"/>
  <c r="H12" i="23"/>
  <c r="S15" i="22"/>
  <c r="L13" i="24"/>
  <c r="J13" i="23"/>
  <c r="E12" i="24"/>
  <c r="D12" i="23"/>
  <c r="C16" i="22"/>
  <c r="B17" i="22"/>
  <c r="A14" i="24"/>
  <c r="A14" i="23"/>
  <c r="AG16" i="22"/>
  <c r="V14" i="24"/>
  <c r="R14" i="23"/>
  <c r="AN14" i="22"/>
  <c r="AA12" i="24"/>
  <c r="V12" i="23"/>
  <c r="AD18" i="22"/>
  <c r="AE17" i="22"/>
  <c r="U15" i="24"/>
  <c r="Q15" i="23"/>
  <c r="J16" i="22"/>
  <c r="I17" i="22"/>
  <c r="F14" i="24"/>
  <c r="E14" i="23"/>
  <c r="O12" i="24"/>
  <c r="L12" i="23"/>
  <c r="AD11" i="24"/>
  <c r="X11" i="23"/>
  <c r="Y13" i="24"/>
  <c r="T13" i="23"/>
  <c r="AT16" i="23" l="1"/>
  <c r="CD18" i="22"/>
  <c r="AA16" i="25"/>
  <c r="N14" i="23"/>
  <c r="Z16" i="22"/>
  <c r="Q14" i="24"/>
  <c r="T13" i="24"/>
  <c r="P13" i="23"/>
  <c r="AV15" i="23"/>
  <c r="AD15" i="25"/>
  <c r="M15" i="23"/>
  <c r="X17" i="22"/>
  <c r="W18" i="22"/>
  <c r="P15" i="24"/>
  <c r="CA20" i="22"/>
  <c r="Z17" i="25"/>
  <c r="AS17" i="23"/>
  <c r="CB19" i="22"/>
  <c r="AJ18" i="23"/>
  <c r="O18" i="25"/>
  <c r="B15" i="25"/>
  <c r="Z15" i="23"/>
  <c r="AU17" i="22"/>
  <c r="AP22" i="23"/>
  <c r="BW24" i="22"/>
  <c r="V22" i="25"/>
  <c r="AH19" i="23"/>
  <c r="BI21" i="22"/>
  <c r="L19" i="25"/>
  <c r="AF12" i="23"/>
  <c r="J12" i="25"/>
  <c r="E14" i="25"/>
  <c r="AB14" i="23"/>
  <c r="G13" i="25"/>
  <c r="BB15" i="22"/>
  <c r="AD13" i="23"/>
  <c r="AY17" i="22"/>
  <c r="F14" i="25"/>
  <c r="AC14" i="23"/>
  <c r="AZ16" i="22"/>
  <c r="Y21" i="25"/>
  <c r="AR21" i="23"/>
  <c r="AR19" i="22"/>
  <c r="A16" i="25"/>
  <c r="Y16" i="23"/>
  <c r="AS18" i="22"/>
  <c r="BT26" i="22"/>
  <c r="AO23" i="23"/>
  <c r="U23" i="25"/>
  <c r="BU25" i="22"/>
  <c r="BF23" i="22"/>
  <c r="AG20" i="23"/>
  <c r="K20" i="25"/>
  <c r="BG22" i="22"/>
  <c r="J17" i="22"/>
  <c r="F15" i="24"/>
  <c r="I18" i="22"/>
  <c r="E15" i="23"/>
  <c r="AG17" i="22"/>
  <c r="V15" i="24"/>
  <c r="R15" i="23"/>
  <c r="AD12" i="24"/>
  <c r="X12" i="23"/>
  <c r="L16" i="22"/>
  <c r="G14" i="24"/>
  <c r="F14" i="23"/>
  <c r="AD19" i="22"/>
  <c r="U16" i="24"/>
  <c r="AE18" i="22"/>
  <c r="Q16" i="23"/>
  <c r="B18" i="22"/>
  <c r="C17" i="22"/>
  <c r="A15" i="24"/>
  <c r="A15" i="23"/>
  <c r="AL16" i="22"/>
  <c r="AK17" i="22"/>
  <c r="Z14" i="24"/>
  <c r="U14" i="23"/>
  <c r="P18" i="22"/>
  <c r="Q17" i="22"/>
  <c r="K15" i="24"/>
  <c r="I15" i="23"/>
  <c r="J13" i="24"/>
  <c r="H13" i="23"/>
  <c r="Y14" i="24"/>
  <c r="T14" i="23"/>
  <c r="E16" i="22"/>
  <c r="B14" i="23"/>
  <c r="B14" i="24"/>
  <c r="O13" i="24"/>
  <c r="L13" i="23"/>
  <c r="E13" i="24"/>
  <c r="D13" i="23"/>
  <c r="AA13" i="24"/>
  <c r="AN15" i="22"/>
  <c r="V13" i="23"/>
  <c r="S16" i="22"/>
  <c r="J14" i="23"/>
  <c r="L14" i="24"/>
  <c r="CA21" i="22" l="1"/>
  <c r="Z18" i="25"/>
  <c r="AS18" i="23"/>
  <c r="CB20" i="22"/>
  <c r="P14" i="23"/>
  <c r="T14" i="24"/>
  <c r="AT17" i="23"/>
  <c r="AA17" i="25"/>
  <c r="CD19" i="22"/>
  <c r="AV16" i="23"/>
  <c r="AD16" i="25"/>
  <c r="Z17" i="22"/>
  <c r="N15" i="23"/>
  <c r="Q15" i="24"/>
  <c r="P16" i="24"/>
  <c r="M16" i="23"/>
  <c r="X18" i="22"/>
  <c r="W19" i="22"/>
  <c r="K21" i="25"/>
  <c r="AG21" i="23"/>
  <c r="BF24" i="22"/>
  <c r="BG23" i="22"/>
  <c r="BT27" i="22"/>
  <c r="U24" i="25"/>
  <c r="AO24" i="23"/>
  <c r="BU26" i="22"/>
  <c r="AR20" i="22"/>
  <c r="A17" i="25"/>
  <c r="Y17" i="23"/>
  <c r="AS19" i="22"/>
  <c r="O19" i="25"/>
  <c r="AJ19" i="23"/>
  <c r="AH20" i="23"/>
  <c r="L20" i="25"/>
  <c r="BI22" i="22"/>
  <c r="AP23" i="23"/>
  <c r="BW25" i="22"/>
  <c r="V23" i="25"/>
  <c r="AU18" i="22"/>
  <c r="B16" i="25"/>
  <c r="Z16" i="23"/>
  <c r="J13" i="25"/>
  <c r="AF13" i="23"/>
  <c r="AR22" i="23"/>
  <c r="Y22" i="25"/>
  <c r="AY18" i="22"/>
  <c r="AC15" i="23"/>
  <c r="F15" i="25"/>
  <c r="AZ17" i="22"/>
  <c r="G14" i="25"/>
  <c r="AD14" i="23"/>
  <c r="BB16" i="22"/>
  <c r="E15" i="25"/>
  <c r="AB15" i="23"/>
  <c r="E17" i="22"/>
  <c r="B15" i="24"/>
  <c r="B15" i="23"/>
  <c r="AD13" i="24"/>
  <c r="X13" i="23"/>
  <c r="E14" i="24"/>
  <c r="D14" i="23"/>
  <c r="Q18" i="22"/>
  <c r="P19" i="22"/>
  <c r="K16" i="24"/>
  <c r="I16" i="23"/>
  <c r="AN16" i="22"/>
  <c r="AA14" i="24"/>
  <c r="V14" i="23"/>
  <c r="C18" i="22"/>
  <c r="B19" i="22"/>
  <c r="A16" i="24"/>
  <c r="A16" i="23"/>
  <c r="AD20" i="22"/>
  <c r="AE19" i="22"/>
  <c r="U17" i="24"/>
  <c r="Q17" i="23"/>
  <c r="J18" i="22"/>
  <c r="I19" i="22"/>
  <c r="F16" i="24"/>
  <c r="E16" i="23"/>
  <c r="AL17" i="22"/>
  <c r="AK18" i="22"/>
  <c r="Z15" i="24"/>
  <c r="U15" i="23"/>
  <c r="L15" i="24"/>
  <c r="S17" i="22"/>
  <c r="J15" i="23"/>
  <c r="O14" i="24"/>
  <c r="L14" i="23"/>
  <c r="AG18" i="22"/>
  <c r="V16" i="24"/>
  <c r="R16" i="23"/>
  <c r="H14" i="23"/>
  <c r="J14" i="24"/>
  <c r="Y15" i="24"/>
  <c r="T15" i="23"/>
  <c r="L17" i="22"/>
  <c r="G15" i="24"/>
  <c r="F15" i="23"/>
  <c r="AA18" i="25" l="1"/>
  <c r="CD20" i="22"/>
  <c r="AT18" i="23"/>
  <c r="M17" i="23"/>
  <c r="W20" i="22"/>
  <c r="X19" i="22"/>
  <c r="P17" i="24"/>
  <c r="Z18" i="22"/>
  <c r="Q16" i="24"/>
  <c r="N16" i="23"/>
  <c r="P15" i="23"/>
  <c r="T15" i="24"/>
  <c r="AD17" i="25"/>
  <c r="AV17" i="23"/>
  <c r="CA22" i="22"/>
  <c r="AS19" i="23"/>
  <c r="Z19" i="25"/>
  <c r="CB21" i="22"/>
  <c r="AY19" i="22"/>
  <c r="F16" i="25"/>
  <c r="AC16" i="23"/>
  <c r="AZ18" i="22"/>
  <c r="AU19" i="22"/>
  <c r="B17" i="25"/>
  <c r="Z17" i="23"/>
  <c r="L21" i="25"/>
  <c r="AH21" i="23"/>
  <c r="BI23" i="22"/>
  <c r="G15" i="25"/>
  <c r="BB17" i="22"/>
  <c r="AD15" i="23"/>
  <c r="AR23" i="23"/>
  <c r="Y23" i="25"/>
  <c r="BF25" i="22"/>
  <c r="K22" i="25"/>
  <c r="AG22" i="23"/>
  <c r="BG24" i="22"/>
  <c r="AP24" i="23"/>
  <c r="BW26" i="22"/>
  <c r="V24" i="25"/>
  <c r="AF14" i="23"/>
  <c r="J14" i="25"/>
  <c r="AB16" i="23"/>
  <c r="E16" i="25"/>
  <c r="O20" i="25"/>
  <c r="AJ20" i="23"/>
  <c r="A18" i="25"/>
  <c r="Y18" i="23"/>
  <c r="AR21" i="22"/>
  <c r="AS20" i="22"/>
  <c r="BT28" i="22"/>
  <c r="U25" i="25"/>
  <c r="AO25" i="23"/>
  <c r="BU27" i="22"/>
  <c r="J19" i="22"/>
  <c r="I20" i="22"/>
  <c r="F17" i="24"/>
  <c r="E17" i="23"/>
  <c r="AD14" i="24"/>
  <c r="X14" i="23"/>
  <c r="Y16" i="24"/>
  <c r="T16" i="23"/>
  <c r="AN17" i="22"/>
  <c r="AA15" i="24"/>
  <c r="V15" i="23"/>
  <c r="L18" i="22"/>
  <c r="F16" i="23"/>
  <c r="G16" i="24"/>
  <c r="AD21" i="22"/>
  <c r="AE20" i="22"/>
  <c r="U18" i="24"/>
  <c r="Q18" i="23"/>
  <c r="E18" i="22"/>
  <c r="B16" i="24"/>
  <c r="B16" i="23"/>
  <c r="AL18" i="22"/>
  <c r="AK19" i="22"/>
  <c r="Z16" i="24"/>
  <c r="U16" i="23"/>
  <c r="AG19" i="22"/>
  <c r="V17" i="24"/>
  <c r="R17" i="23"/>
  <c r="B20" i="22"/>
  <c r="C19" i="22"/>
  <c r="A17" i="24"/>
  <c r="A17" i="23"/>
  <c r="S18" i="22"/>
  <c r="L16" i="24"/>
  <c r="J16" i="23"/>
  <c r="J15" i="24"/>
  <c r="H15" i="23"/>
  <c r="O15" i="24"/>
  <c r="L15" i="23"/>
  <c r="P20" i="22"/>
  <c r="K17" i="24"/>
  <c r="Q19" i="22"/>
  <c r="I17" i="23"/>
  <c r="E15" i="24"/>
  <c r="D15" i="23"/>
  <c r="CD21" i="22" l="1"/>
  <c r="AT19" i="23"/>
  <c r="AA19" i="25"/>
  <c r="M18" i="23"/>
  <c r="X20" i="22"/>
  <c r="W21" i="22"/>
  <c r="P18" i="24"/>
  <c r="CA23" i="22"/>
  <c r="AS20" i="23"/>
  <c r="Z20" i="25"/>
  <c r="CB22" i="22"/>
  <c r="P16" i="23"/>
  <c r="T16" i="24"/>
  <c r="AV18" i="23"/>
  <c r="AD18" i="25"/>
  <c r="Z19" i="22"/>
  <c r="N17" i="23"/>
  <c r="Q17" i="24"/>
  <c r="AP25" i="23"/>
  <c r="BW27" i="22"/>
  <c r="V25" i="25"/>
  <c r="AU20" i="22"/>
  <c r="Z18" i="23"/>
  <c r="B18" i="25"/>
  <c r="BB18" i="22"/>
  <c r="AD16" i="23"/>
  <c r="G16" i="25"/>
  <c r="AR24" i="23"/>
  <c r="Y24" i="25"/>
  <c r="O21" i="25"/>
  <c r="AJ21" i="23"/>
  <c r="AH22" i="23"/>
  <c r="L22" i="25"/>
  <c r="BI24" i="22"/>
  <c r="AR22" i="22"/>
  <c r="A19" i="25"/>
  <c r="Y19" i="23"/>
  <c r="AS21" i="22"/>
  <c r="U26" i="25"/>
  <c r="BT29" i="22"/>
  <c r="AO26" i="23"/>
  <c r="BU28" i="22"/>
  <c r="K23" i="25"/>
  <c r="BF26" i="22"/>
  <c r="AG23" i="23"/>
  <c r="BG25" i="22"/>
  <c r="AF15" i="23"/>
  <c r="J15" i="25"/>
  <c r="E17" i="25"/>
  <c r="AB17" i="23"/>
  <c r="AY20" i="22"/>
  <c r="F17" i="25"/>
  <c r="AC17" i="23"/>
  <c r="AZ19" i="22"/>
  <c r="AD22" i="22"/>
  <c r="AE21" i="22"/>
  <c r="U19" i="24"/>
  <c r="Q19" i="23"/>
  <c r="C20" i="22"/>
  <c r="B21" i="22"/>
  <c r="A18" i="24"/>
  <c r="A18" i="23"/>
  <c r="AG20" i="22"/>
  <c r="V18" i="24"/>
  <c r="R18" i="23"/>
  <c r="S19" i="22"/>
  <c r="L17" i="24"/>
  <c r="J17" i="23"/>
  <c r="Y17" i="24"/>
  <c r="T17" i="23"/>
  <c r="AN18" i="22"/>
  <c r="V16" i="23"/>
  <c r="AA16" i="24"/>
  <c r="E16" i="24"/>
  <c r="D16" i="23"/>
  <c r="J20" i="22"/>
  <c r="I21" i="22"/>
  <c r="F18" i="24"/>
  <c r="E18" i="23"/>
  <c r="Q20" i="22"/>
  <c r="P21" i="22"/>
  <c r="K18" i="24"/>
  <c r="I18" i="23"/>
  <c r="O16" i="24"/>
  <c r="L16" i="23"/>
  <c r="J16" i="24"/>
  <c r="H16" i="23"/>
  <c r="AL19" i="22"/>
  <c r="AK20" i="22"/>
  <c r="Z17" i="24"/>
  <c r="U17" i="23"/>
  <c r="E19" i="22"/>
  <c r="B17" i="24"/>
  <c r="B17" i="23"/>
  <c r="AD15" i="24"/>
  <c r="X15" i="23"/>
  <c r="L19" i="22"/>
  <c r="F17" i="23"/>
  <c r="G17" i="24"/>
  <c r="T17" i="24" l="1"/>
  <c r="P17" i="23"/>
  <c r="AT20" i="23"/>
  <c r="CD22" i="22"/>
  <c r="AA20" i="25"/>
  <c r="CA24" i="22"/>
  <c r="Z21" i="25"/>
  <c r="AS21" i="23"/>
  <c r="CB23" i="22"/>
  <c r="X21" i="22"/>
  <c r="P19" i="24"/>
  <c r="W22" i="22"/>
  <c r="M19" i="23"/>
  <c r="Q18" i="24"/>
  <c r="N18" i="23"/>
  <c r="Z20" i="22"/>
  <c r="AV19" i="23"/>
  <c r="AD19" i="25"/>
  <c r="AY21" i="22"/>
  <c r="F18" i="25"/>
  <c r="AC18" i="23"/>
  <c r="AZ20" i="22"/>
  <c r="BT30" i="22"/>
  <c r="U27" i="25"/>
  <c r="AO27" i="23"/>
  <c r="BU29" i="22"/>
  <c r="Y25" i="25"/>
  <c r="AR25" i="23"/>
  <c r="K24" i="25"/>
  <c r="BF27" i="22"/>
  <c r="BG26" i="22"/>
  <c r="AG24" i="23"/>
  <c r="AF16" i="23"/>
  <c r="J16" i="25"/>
  <c r="G17" i="25"/>
  <c r="AD17" i="23"/>
  <c r="BB19" i="22"/>
  <c r="L23" i="25"/>
  <c r="BI25" i="22"/>
  <c r="AH23" i="23"/>
  <c r="AR23" i="22"/>
  <c r="AS22" i="22"/>
  <c r="A20" i="25"/>
  <c r="Y20" i="23"/>
  <c r="AJ22" i="23"/>
  <c r="O22" i="25"/>
  <c r="V26" i="25"/>
  <c r="BW28" i="22"/>
  <c r="AP26" i="23"/>
  <c r="Z19" i="23"/>
  <c r="AU21" i="22"/>
  <c r="B19" i="25"/>
  <c r="AB18" i="23"/>
  <c r="E18" i="25"/>
  <c r="J17" i="24"/>
  <c r="H17" i="23"/>
  <c r="AL20" i="22"/>
  <c r="AK21" i="22"/>
  <c r="Z18" i="24"/>
  <c r="U18" i="23"/>
  <c r="P22" i="22"/>
  <c r="Q21" i="22"/>
  <c r="K19" i="24"/>
  <c r="I19" i="23"/>
  <c r="L20" i="22"/>
  <c r="F18" i="23"/>
  <c r="G18" i="24"/>
  <c r="AN19" i="22"/>
  <c r="AA17" i="24"/>
  <c r="V17" i="23"/>
  <c r="S20" i="22"/>
  <c r="L18" i="24"/>
  <c r="J18" i="23"/>
  <c r="AD16" i="24"/>
  <c r="X16" i="23"/>
  <c r="O17" i="24"/>
  <c r="L17" i="23"/>
  <c r="B22" i="22"/>
  <c r="C21" i="22"/>
  <c r="A19" i="24"/>
  <c r="A19" i="23"/>
  <c r="AG21" i="22"/>
  <c r="V19" i="24"/>
  <c r="R19" i="23"/>
  <c r="J21" i="22"/>
  <c r="I22" i="22"/>
  <c r="F19" i="24"/>
  <c r="E19" i="23"/>
  <c r="E17" i="24"/>
  <c r="D17" i="23"/>
  <c r="Y18" i="24"/>
  <c r="T18" i="23"/>
  <c r="E20" i="22"/>
  <c r="B18" i="24"/>
  <c r="B18" i="23"/>
  <c r="AE22" i="22"/>
  <c r="U20" i="24"/>
  <c r="AD23" i="22"/>
  <c r="Q20" i="23"/>
  <c r="W23" i="22" l="1"/>
  <c r="P20" i="24"/>
  <c r="M20" i="23"/>
  <c r="X22" i="22"/>
  <c r="AD20" i="25"/>
  <c r="AV20" i="23"/>
  <c r="Z21" i="22"/>
  <c r="Q19" i="24"/>
  <c r="N19" i="23"/>
  <c r="CA25" i="22"/>
  <c r="Z22" i="25"/>
  <c r="AS22" i="23"/>
  <c r="CB24" i="22"/>
  <c r="P18" i="23"/>
  <c r="T18" i="24"/>
  <c r="AT21" i="23"/>
  <c r="CD23" i="22"/>
  <c r="AA21" i="25"/>
  <c r="J17" i="25"/>
  <c r="AF17" i="23"/>
  <c r="AR26" i="23"/>
  <c r="Y26" i="25"/>
  <c r="BF28" i="22"/>
  <c r="K25" i="25"/>
  <c r="AG25" i="23"/>
  <c r="BG27" i="22"/>
  <c r="AD18" i="23"/>
  <c r="BB20" i="22"/>
  <c r="G18" i="25"/>
  <c r="AU22" i="22"/>
  <c r="B20" i="25"/>
  <c r="Z20" i="23"/>
  <c r="V27" i="25"/>
  <c r="AP27" i="23"/>
  <c r="BW29" i="22"/>
  <c r="AB19" i="23"/>
  <c r="E19" i="25"/>
  <c r="Y21" i="23"/>
  <c r="A21" i="25"/>
  <c r="AR24" i="22"/>
  <c r="AS23" i="22"/>
  <c r="O23" i="25"/>
  <c r="AJ23" i="23"/>
  <c r="BI26" i="22"/>
  <c r="L24" i="25"/>
  <c r="AH24" i="23"/>
  <c r="BT31" i="22"/>
  <c r="U28" i="25"/>
  <c r="AO28" i="23"/>
  <c r="BU30" i="22"/>
  <c r="AY22" i="22"/>
  <c r="AC19" i="23"/>
  <c r="F19" i="25"/>
  <c r="AZ21" i="22"/>
  <c r="AD24" i="22"/>
  <c r="AE23" i="22"/>
  <c r="U21" i="24"/>
  <c r="Q21" i="23"/>
  <c r="E21" i="22"/>
  <c r="B19" i="24"/>
  <c r="B19" i="23"/>
  <c r="AD17" i="24"/>
  <c r="X17" i="23"/>
  <c r="AL21" i="22"/>
  <c r="AK22" i="22"/>
  <c r="Z19" i="24"/>
  <c r="U19" i="23"/>
  <c r="E18" i="24"/>
  <c r="D18" i="23"/>
  <c r="Y19" i="24"/>
  <c r="T19" i="23"/>
  <c r="O18" i="24"/>
  <c r="L18" i="23"/>
  <c r="AN20" i="22"/>
  <c r="AA18" i="24"/>
  <c r="V18" i="23"/>
  <c r="AG22" i="22"/>
  <c r="V20" i="24"/>
  <c r="R20" i="23"/>
  <c r="J22" i="22"/>
  <c r="I23" i="22"/>
  <c r="F20" i="24"/>
  <c r="E20" i="23"/>
  <c r="L19" i="24"/>
  <c r="S21" i="22"/>
  <c r="J19" i="23"/>
  <c r="L21" i="22"/>
  <c r="F19" i="23"/>
  <c r="G19" i="24"/>
  <c r="C22" i="22"/>
  <c r="B23" i="22"/>
  <c r="A20" i="24"/>
  <c r="A20" i="23"/>
  <c r="J18" i="24"/>
  <c r="H18" i="23"/>
  <c r="Q22" i="22"/>
  <c r="P23" i="22"/>
  <c r="K20" i="24"/>
  <c r="I20" i="23"/>
  <c r="Q20" i="24" l="1"/>
  <c r="N20" i="23"/>
  <c r="Z22" i="22"/>
  <c r="T19" i="24"/>
  <c r="P19" i="23"/>
  <c r="CA26" i="22"/>
  <c r="AS23" i="23"/>
  <c r="Z23" i="25"/>
  <c r="CB25" i="22"/>
  <c r="AD21" i="25"/>
  <c r="AV21" i="23"/>
  <c r="AA22" i="25"/>
  <c r="AT22" i="23"/>
  <c r="CD24" i="22"/>
  <c r="W24" i="22"/>
  <c r="X23" i="22"/>
  <c r="P21" i="24"/>
  <c r="M21" i="23"/>
  <c r="E20" i="25"/>
  <c r="AB20" i="23"/>
  <c r="BI27" i="22"/>
  <c r="L25" i="25"/>
  <c r="AH25" i="23"/>
  <c r="O24" i="25"/>
  <c r="AJ24" i="23"/>
  <c r="AS24" i="22"/>
  <c r="A22" i="25"/>
  <c r="Y22" i="23"/>
  <c r="AR25" i="22"/>
  <c r="AG26" i="23"/>
  <c r="BF29" i="22"/>
  <c r="K26" i="25"/>
  <c r="BG28" i="22"/>
  <c r="Y27" i="25"/>
  <c r="AR27" i="23"/>
  <c r="G19" i="25"/>
  <c r="BB21" i="22"/>
  <c r="AD19" i="23"/>
  <c r="V28" i="25"/>
  <c r="AP28" i="23"/>
  <c r="BW30" i="22"/>
  <c r="AY23" i="22"/>
  <c r="F20" i="25"/>
  <c r="AC20" i="23"/>
  <c r="AZ22" i="22"/>
  <c r="BT32" i="22"/>
  <c r="U29" i="25"/>
  <c r="AO29" i="23"/>
  <c r="BU31" i="22"/>
  <c r="AU23" i="22"/>
  <c r="Z21" i="23"/>
  <c r="B21" i="25"/>
  <c r="AF18" i="23"/>
  <c r="J18" i="25"/>
  <c r="P24" i="22"/>
  <c r="Q23" i="22"/>
  <c r="K21" i="24"/>
  <c r="I21" i="23"/>
  <c r="J23" i="22"/>
  <c r="I24" i="22"/>
  <c r="F21" i="24"/>
  <c r="E21" i="23"/>
  <c r="E19" i="24"/>
  <c r="D19" i="23"/>
  <c r="AD18" i="24"/>
  <c r="X18" i="23"/>
  <c r="B24" i="22"/>
  <c r="A21" i="24"/>
  <c r="C23" i="22"/>
  <c r="A21" i="23"/>
  <c r="J19" i="24"/>
  <c r="H19" i="23"/>
  <c r="Y20" i="24"/>
  <c r="T20" i="23"/>
  <c r="AL22" i="22"/>
  <c r="AK23" i="22"/>
  <c r="Z20" i="24"/>
  <c r="U20" i="23"/>
  <c r="O19" i="24"/>
  <c r="L19" i="23"/>
  <c r="AD25" i="22"/>
  <c r="U22" i="24"/>
  <c r="AE24" i="22"/>
  <c r="Q22" i="23"/>
  <c r="S22" i="22"/>
  <c r="L20" i="24"/>
  <c r="J20" i="23"/>
  <c r="F20" i="23"/>
  <c r="L22" i="22"/>
  <c r="G20" i="24"/>
  <c r="E22" i="22"/>
  <c r="B20" i="24"/>
  <c r="B20" i="23"/>
  <c r="AN21" i="22"/>
  <c r="AA19" i="24"/>
  <c r="V19" i="23"/>
  <c r="V21" i="24"/>
  <c r="AG23" i="22"/>
  <c r="R21" i="23"/>
  <c r="Q21" i="24" l="1"/>
  <c r="N21" i="23"/>
  <c r="Z23" i="22"/>
  <c r="P20" i="23"/>
  <c r="T20" i="24"/>
  <c r="AD22" i="25"/>
  <c r="AV22" i="23"/>
  <c r="CA27" i="22"/>
  <c r="AS24" i="23"/>
  <c r="Z24" i="25"/>
  <c r="CB26" i="22"/>
  <c r="W25" i="22"/>
  <c r="P22" i="24"/>
  <c r="M22" i="23"/>
  <c r="X24" i="22"/>
  <c r="AT23" i="23"/>
  <c r="AA23" i="25"/>
  <c r="CD25" i="22"/>
  <c r="BB22" i="22"/>
  <c r="G20" i="25"/>
  <c r="AD20" i="23"/>
  <c r="AF19" i="23"/>
  <c r="J19" i="25"/>
  <c r="AR26" i="22"/>
  <c r="AS25" i="22"/>
  <c r="A23" i="25"/>
  <c r="Y23" i="23"/>
  <c r="AB21" i="23"/>
  <c r="E21" i="25"/>
  <c r="BT33" i="22"/>
  <c r="AO30" i="23"/>
  <c r="U30" i="25"/>
  <c r="BU32" i="22"/>
  <c r="AY24" i="22"/>
  <c r="F21" i="25"/>
  <c r="AC21" i="23"/>
  <c r="AZ23" i="22"/>
  <c r="AU24" i="22"/>
  <c r="B22" i="25"/>
  <c r="Z22" i="23"/>
  <c r="O25" i="25"/>
  <c r="AJ25" i="23"/>
  <c r="AR28" i="23"/>
  <c r="Y28" i="25"/>
  <c r="AP29" i="23"/>
  <c r="V29" i="25"/>
  <c r="BW31" i="22"/>
  <c r="BI28" i="22"/>
  <c r="L26" i="25"/>
  <c r="AH26" i="23"/>
  <c r="BF30" i="22"/>
  <c r="K27" i="25"/>
  <c r="AG27" i="23"/>
  <c r="BG29" i="22"/>
  <c r="E20" i="24"/>
  <c r="D20" i="23"/>
  <c r="AN22" i="22"/>
  <c r="AA20" i="24"/>
  <c r="V20" i="23"/>
  <c r="AD19" i="24"/>
  <c r="X19" i="23"/>
  <c r="J20" i="24"/>
  <c r="H20" i="23"/>
  <c r="O20" i="24"/>
  <c r="L20" i="23"/>
  <c r="AD26" i="22"/>
  <c r="AE25" i="22"/>
  <c r="U23" i="24"/>
  <c r="Q23" i="23"/>
  <c r="E23" i="22"/>
  <c r="B21" i="24"/>
  <c r="B21" i="23"/>
  <c r="J24" i="22"/>
  <c r="I25" i="22"/>
  <c r="F22" i="24"/>
  <c r="E22" i="23"/>
  <c r="S23" i="22"/>
  <c r="L21" i="24"/>
  <c r="J21" i="23"/>
  <c r="AG24" i="22"/>
  <c r="V22" i="24"/>
  <c r="R22" i="23"/>
  <c r="C24" i="22"/>
  <c r="B25" i="22"/>
  <c r="A22" i="24"/>
  <c r="A22" i="23"/>
  <c r="Y21" i="24"/>
  <c r="T21" i="23"/>
  <c r="AL23" i="22"/>
  <c r="AK24" i="22"/>
  <c r="Z21" i="24"/>
  <c r="U21" i="23"/>
  <c r="L23" i="22"/>
  <c r="F21" i="23"/>
  <c r="G21" i="24"/>
  <c r="Q24" i="22"/>
  <c r="P25" i="22"/>
  <c r="K22" i="24"/>
  <c r="I22" i="23"/>
  <c r="N22" i="23" l="1"/>
  <c r="Z24" i="22"/>
  <c r="Q22" i="24"/>
  <c r="AA24" i="25"/>
  <c r="AT24" i="23"/>
  <c r="CD26" i="22"/>
  <c r="P21" i="23"/>
  <c r="T21" i="24"/>
  <c r="CA28" i="22"/>
  <c r="Z25" i="25"/>
  <c r="AS25" i="23"/>
  <c r="CB27" i="22"/>
  <c r="AV23" i="23"/>
  <c r="AD23" i="25"/>
  <c r="X25" i="22"/>
  <c r="W26" i="22"/>
  <c r="P23" i="24"/>
  <c r="M23" i="23"/>
  <c r="AJ26" i="23"/>
  <c r="O26" i="25"/>
  <c r="BB23" i="22"/>
  <c r="AD21" i="23"/>
  <c r="G21" i="25"/>
  <c r="Z23" i="23"/>
  <c r="AU25" i="22"/>
  <c r="B23" i="25"/>
  <c r="AG28" i="23"/>
  <c r="BG30" i="22"/>
  <c r="BF31" i="22"/>
  <c r="K28" i="25"/>
  <c r="Y29" i="25"/>
  <c r="AR29" i="23"/>
  <c r="AR27" i="22"/>
  <c r="A24" i="25"/>
  <c r="AS26" i="22"/>
  <c r="Y24" i="23"/>
  <c r="V30" i="25"/>
  <c r="BW32" i="22"/>
  <c r="AP30" i="23"/>
  <c r="AH27" i="23"/>
  <c r="L27" i="25"/>
  <c r="BI29" i="22"/>
  <c r="AF20" i="23"/>
  <c r="J20" i="25"/>
  <c r="E22" i="25"/>
  <c r="AB22" i="23"/>
  <c r="AY25" i="22"/>
  <c r="F22" i="25"/>
  <c r="AC22" i="23"/>
  <c r="AZ24" i="22"/>
  <c r="BT34" i="22"/>
  <c r="AO31" i="23"/>
  <c r="U31" i="25"/>
  <c r="BU33" i="22"/>
  <c r="AN23" i="22"/>
  <c r="AA21" i="24"/>
  <c r="V21" i="23"/>
  <c r="J25" i="22"/>
  <c r="I26" i="22"/>
  <c r="F23" i="24"/>
  <c r="E23" i="23"/>
  <c r="L24" i="22"/>
  <c r="F22" i="23"/>
  <c r="G22" i="24"/>
  <c r="AD20" i="24"/>
  <c r="X20" i="23"/>
  <c r="Y22" i="24"/>
  <c r="T22" i="23"/>
  <c r="P26" i="22"/>
  <c r="Q25" i="22"/>
  <c r="K23" i="24"/>
  <c r="I23" i="23"/>
  <c r="J21" i="24"/>
  <c r="H21" i="23"/>
  <c r="E24" i="22"/>
  <c r="B22" i="23"/>
  <c r="B22" i="24"/>
  <c r="E21" i="24"/>
  <c r="D21" i="23"/>
  <c r="AD27" i="22"/>
  <c r="AE26" i="22"/>
  <c r="U24" i="24"/>
  <c r="Q24" i="23"/>
  <c r="S24" i="22"/>
  <c r="L22" i="24"/>
  <c r="J22" i="23"/>
  <c r="O21" i="24"/>
  <c r="L21" i="23"/>
  <c r="AL24" i="22"/>
  <c r="AK25" i="22"/>
  <c r="Z22" i="24"/>
  <c r="U22" i="23"/>
  <c r="B26" i="22"/>
  <c r="C25" i="22"/>
  <c r="A23" i="24"/>
  <c r="A23" i="23"/>
  <c r="AG25" i="22"/>
  <c r="V23" i="24"/>
  <c r="R23" i="23"/>
  <c r="X26" i="22" l="1"/>
  <c r="P24" i="24"/>
  <c r="W27" i="22"/>
  <c r="M24" i="23"/>
  <c r="N23" i="23"/>
  <c r="Q23" i="24"/>
  <c r="Z25" i="22"/>
  <c r="AT25" i="23"/>
  <c r="CD27" i="22"/>
  <c r="AA25" i="25"/>
  <c r="AV24" i="23"/>
  <c r="AD24" i="25"/>
  <c r="T22" i="24"/>
  <c r="P22" i="23"/>
  <c r="CA29" i="22"/>
  <c r="Z26" i="25"/>
  <c r="AS26" i="23"/>
  <c r="CB28" i="22"/>
  <c r="B24" i="25"/>
  <c r="AU26" i="22"/>
  <c r="Z24" i="23"/>
  <c r="L28" i="25"/>
  <c r="BI30" i="22"/>
  <c r="AH28" i="23"/>
  <c r="E23" i="25"/>
  <c r="AB23" i="23"/>
  <c r="J21" i="25"/>
  <c r="AF21" i="23"/>
  <c r="U32" i="25"/>
  <c r="AO32" i="23"/>
  <c r="BU34" i="22"/>
  <c r="AY26" i="22"/>
  <c r="AC23" i="23"/>
  <c r="F23" i="25"/>
  <c r="AZ25" i="22"/>
  <c r="O27" i="25"/>
  <c r="AJ27" i="23"/>
  <c r="Y30" i="25"/>
  <c r="AR30" i="23"/>
  <c r="BW33" i="22"/>
  <c r="AP31" i="23"/>
  <c r="V31" i="25"/>
  <c r="AD22" i="23"/>
  <c r="BB24" i="22"/>
  <c r="G22" i="25"/>
  <c r="A25" i="25"/>
  <c r="AS27" i="22"/>
  <c r="Y25" i="23"/>
  <c r="AR28" i="22"/>
  <c r="K29" i="25"/>
  <c r="BG31" i="22"/>
  <c r="BF32" i="22"/>
  <c r="AG29" i="23"/>
  <c r="E22" i="24"/>
  <c r="D22" i="23"/>
  <c r="L25" i="22"/>
  <c r="F23" i="23"/>
  <c r="G23" i="24"/>
  <c r="AL25" i="22"/>
  <c r="AK26" i="22"/>
  <c r="Z23" i="24"/>
  <c r="U23" i="23"/>
  <c r="S25" i="22"/>
  <c r="L23" i="24"/>
  <c r="J23" i="23"/>
  <c r="C26" i="22"/>
  <c r="B27" i="22"/>
  <c r="A24" i="24"/>
  <c r="A24" i="23"/>
  <c r="AA22" i="24"/>
  <c r="AN24" i="22"/>
  <c r="V22" i="23"/>
  <c r="AG26" i="22"/>
  <c r="V24" i="24"/>
  <c r="R24" i="23"/>
  <c r="Q26" i="22"/>
  <c r="P27" i="22"/>
  <c r="K24" i="24"/>
  <c r="I24" i="23"/>
  <c r="Y23" i="24"/>
  <c r="T23" i="23"/>
  <c r="E25" i="22"/>
  <c r="B23" i="24"/>
  <c r="B23" i="23"/>
  <c r="J22" i="24"/>
  <c r="H22" i="23"/>
  <c r="O22" i="24"/>
  <c r="L22" i="23"/>
  <c r="AD28" i="22"/>
  <c r="AE27" i="22"/>
  <c r="U25" i="24"/>
  <c r="Q25" i="23"/>
  <c r="J26" i="22"/>
  <c r="I27" i="22"/>
  <c r="F24" i="24"/>
  <c r="E24" i="23"/>
  <c r="AD21" i="24"/>
  <c r="X21" i="23"/>
  <c r="CA30" i="22" l="1"/>
  <c r="AS27" i="23"/>
  <c r="Z27" i="25"/>
  <c r="CB29" i="22"/>
  <c r="P23" i="23"/>
  <c r="T23" i="24"/>
  <c r="P25" i="24"/>
  <c r="M25" i="23"/>
  <c r="W28" i="22"/>
  <c r="X27" i="22"/>
  <c r="AA26" i="25"/>
  <c r="CD28" i="22"/>
  <c r="AT26" i="23"/>
  <c r="AV25" i="23"/>
  <c r="AD25" i="25"/>
  <c r="N24" i="23"/>
  <c r="Q24" i="24"/>
  <c r="Z26" i="22"/>
  <c r="A26" i="25"/>
  <c r="AR29" i="22"/>
  <c r="AS28" i="22"/>
  <c r="Y26" i="23"/>
  <c r="AH29" i="23"/>
  <c r="L29" i="25"/>
  <c r="BI31" i="22"/>
  <c r="AF22" i="23"/>
  <c r="J22" i="25"/>
  <c r="Y31" i="25"/>
  <c r="AR31" i="23"/>
  <c r="AY27" i="22"/>
  <c r="F24" i="25"/>
  <c r="AC24" i="23"/>
  <c r="AZ26" i="22"/>
  <c r="K30" i="25"/>
  <c r="AG30" i="23"/>
  <c r="BG32" i="22"/>
  <c r="BF33" i="22"/>
  <c r="AU27" i="22"/>
  <c r="Z25" i="23"/>
  <c r="B25" i="25"/>
  <c r="E24" i="25"/>
  <c r="AB24" i="23"/>
  <c r="AJ28" i="23"/>
  <c r="O28" i="25"/>
  <c r="G23" i="25"/>
  <c r="BB25" i="22"/>
  <c r="AD23" i="23"/>
  <c r="BW34" i="22"/>
  <c r="AP32" i="23"/>
  <c r="V32" i="25"/>
  <c r="BZ38" i="22"/>
  <c r="BZ37" i="22"/>
  <c r="BZ41" i="22"/>
  <c r="BZ40" i="22"/>
  <c r="BZ42" i="22"/>
  <c r="BZ43" i="22"/>
  <c r="BZ39" i="22"/>
  <c r="E26" i="22"/>
  <c r="B24" i="24"/>
  <c r="B24" i="23"/>
  <c r="Y24" i="24"/>
  <c r="T24" i="23"/>
  <c r="J27" i="22"/>
  <c r="I28" i="22"/>
  <c r="F25" i="24"/>
  <c r="E25" i="23"/>
  <c r="AG27" i="22"/>
  <c r="V25" i="24"/>
  <c r="R25" i="23"/>
  <c r="E23" i="24"/>
  <c r="D23" i="23"/>
  <c r="S26" i="22"/>
  <c r="L24" i="24"/>
  <c r="J24" i="23"/>
  <c r="AL26" i="22"/>
  <c r="Z24" i="24"/>
  <c r="AK27" i="22"/>
  <c r="U24" i="23"/>
  <c r="J23" i="24"/>
  <c r="H23" i="23"/>
  <c r="P28" i="22"/>
  <c r="K25" i="24"/>
  <c r="Q27" i="22"/>
  <c r="I25" i="23"/>
  <c r="L26" i="22"/>
  <c r="F24" i="23"/>
  <c r="G24" i="24"/>
  <c r="AD29" i="22"/>
  <c r="AE28" i="22"/>
  <c r="U26" i="24"/>
  <c r="Q26" i="23"/>
  <c r="AD22" i="24"/>
  <c r="X22" i="23"/>
  <c r="B28" i="22"/>
  <c r="C27" i="22"/>
  <c r="A25" i="24"/>
  <c r="A25" i="23"/>
  <c r="L23" i="23"/>
  <c r="O23" i="24"/>
  <c r="AN25" i="22"/>
  <c r="AA23" i="24"/>
  <c r="V23" i="23"/>
  <c r="AV26" i="23" l="1"/>
  <c r="AD26" i="25"/>
  <c r="AT27" i="23"/>
  <c r="CD29" i="22"/>
  <c r="AA27" i="25"/>
  <c r="P24" i="23"/>
  <c r="T24" i="24"/>
  <c r="N25" i="23"/>
  <c r="Q25" i="24"/>
  <c r="Z27" i="22"/>
  <c r="X28" i="22"/>
  <c r="W29" i="22"/>
  <c r="P26" i="24"/>
  <c r="M26" i="23"/>
  <c r="CA31" i="22"/>
  <c r="Z28" i="25"/>
  <c r="AS28" i="23"/>
  <c r="CB30" i="22"/>
  <c r="BI32" i="22"/>
  <c r="AH30" i="23"/>
  <c r="L30" i="25"/>
  <c r="BB26" i="22"/>
  <c r="AD24" i="23"/>
  <c r="G24" i="25"/>
  <c r="O29" i="25"/>
  <c r="AJ29" i="23"/>
  <c r="Z26" i="23"/>
  <c r="AU28" i="22"/>
  <c r="B26" i="25"/>
  <c r="AB25" i="23"/>
  <c r="E25" i="25"/>
  <c r="Y27" i="23"/>
  <c r="A27" i="25"/>
  <c r="AS29" i="22"/>
  <c r="AR30" i="22"/>
  <c r="AR32" i="23"/>
  <c r="Y32" i="25"/>
  <c r="J23" i="25"/>
  <c r="AF23" i="23"/>
  <c r="AG31" i="23"/>
  <c r="BG33" i="22"/>
  <c r="BF34" i="22"/>
  <c r="K31" i="25"/>
  <c r="AY28" i="22"/>
  <c r="F25" i="25"/>
  <c r="AC25" i="23"/>
  <c r="AZ27" i="22"/>
  <c r="J24" i="24"/>
  <c r="H24" i="23"/>
  <c r="Q28" i="22"/>
  <c r="P29" i="22"/>
  <c r="K26" i="24"/>
  <c r="I26" i="23"/>
  <c r="AL27" i="22"/>
  <c r="AK28" i="22"/>
  <c r="Z25" i="24"/>
  <c r="U25" i="23"/>
  <c r="AD23" i="24"/>
  <c r="X23" i="23"/>
  <c r="AD30" i="22"/>
  <c r="AE29" i="22"/>
  <c r="U27" i="24"/>
  <c r="Q27" i="23"/>
  <c r="O24" i="24"/>
  <c r="L24" i="23"/>
  <c r="J28" i="22"/>
  <c r="I29" i="22"/>
  <c r="F26" i="24"/>
  <c r="E26" i="23"/>
  <c r="C28" i="22"/>
  <c r="B29" i="22"/>
  <c r="A26" i="24"/>
  <c r="A26" i="23"/>
  <c r="AG28" i="22"/>
  <c r="V26" i="24"/>
  <c r="R26" i="23"/>
  <c r="E27" i="22"/>
  <c r="B25" i="24"/>
  <c r="B25" i="23"/>
  <c r="S27" i="22"/>
  <c r="L25" i="24"/>
  <c r="J25" i="23"/>
  <c r="AN26" i="22"/>
  <c r="AA24" i="24"/>
  <c r="V24" i="23"/>
  <c r="Y25" i="24"/>
  <c r="T25" i="23"/>
  <c r="L27" i="22"/>
  <c r="F25" i="23"/>
  <c r="G25" i="24"/>
  <c r="E24" i="24"/>
  <c r="D24" i="23"/>
  <c r="AD27" i="25" l="1"/>
  <c r="AV27" i="23"/>
  <c r="CA32" i="22"/>
  <c r="Z29" i="25"/>
  <c r="AS29" i="23"/>
  <c r="CB31" i="22"/>
  <c r="Z28" i="22"/>
  <c r="Q26" i="24"/>
  <c r="N26" i="23"/>
  <c r="AA28" i="25"/>
  <c r="CD30" i="22"/>
  <c r="AT28" i="23"/>
  <c r="T25" i="24"/>
  <c r="P25" i="23"/>
  <c r="M27" i="23"/>
  <c r="P27" i="24"/>
  <c r="W30" i="22"/>
  <c r="X29" i="22"/>
  <c r="AU29" i="22"/>
  <c r="Z27" i="23"/>
  <c r="B27" i="25"/>
  <c r="AY29" i="22"/>
  <c r="F26" i="25"/>
  <c r="AC26" i="23"/>
  <c r="AZ28" i="22"/>
  <c r="E26" i="25"/>
  <c r="AB26" i="23"/>
  <c r="BI33" i="22"/>
  <c r="AH31" i="23"/>
  <c r="L31" i="25"/>
  <c r="AD25" i="23"/>
  <c r="BB27" i="22"/>
  <c r="G25" i="25"/>
  <c r="K32" i="25"/>
  <c r="AG32" i="23"/>
  <c r="BG34" i="22"/>
  <c r="Y28" i="23"/>
  <c r="AS30" i="22"/>
  <c r="A28" i="25"/>
  <c r="AR31" i="22"/>
  <c r="AF24" i="23"/>
  <c r="J24" i="25"/>
  <c r="O30" i="25"/>
  <c r="AJ30" i="23"/>
  <c r="Y26" i="24"/>
  <c r="T26" i="23"/>
  <c r="AG29" i="22"/>
  <c r="V27" i="24"/>
  <c r="R27" i="23"/>
  <c r="E25" i="24"/>
  <c r="D25" i="23"/>
  <c r="AD31" i="22"/>
  <c r="AE30" i="22"/>
  <c r="U28" i="24"/>
  <c r="Q28" i="23"/>
  <c r="J25" i="24"/>
  <c r="H25" i="23"/>
  <c r="O25" i="24"/>
  <c r="L25" i="23"/>
  <c r="J29" i="22"/>
  <c r="I30" i="22"/>
  <c r="F27" i="24"/>
  <c r="E27" i="23"/>
  <c r="AL28" i="22"/>
  <c r="AK29" i="22"/>
  <c r="Z26" i="24"/>
  <c r="U26" i="23"/>
  <c r="P30" i="22"/>
  <c r="Q29" i="22"/>
  <c r="K27" i="24"/>
  <c r="I27" i="23"/>
  <c r="E28" i="22"/>
  <c r="B26" i="24"/>
  <c r="B26" i="23"/>
  <c r="AD24" i="24"/>
  <c r="X24" i="23"/>
  <c r="B30" i="22"/>
  <c r="C29" i="22"/>
  <c r="A27" i="24"/>
  <c r="A27" i="23"/>
  <c r="L28" i="22"/>
  <c r="F26" i="23"/>
  <c r="G26" i="24"/>
  <c r="AN27" i="22"/>
  <c r="AA25" i="24"/>
  <c r="V25" i="23"/>
  <c r="S28" i="22"/>
  <c r="L26" i="24"/>
  <c r="J26" i="23"/>
  <c r="AV28" i="23" l="1"/>
  <c r="AD28" i="25"/>
  <c r="P26" i="23"/>
  <c r="T26" i="24"/>
  <c r="CA33" i="22"/>
  <c r="Z30" i="25"/>
  <c r="AS30" i="23"/>
  <c r="CB32" i="22"/>
  <c r="M28" i="23"/>
  <c r="X30" i="22"/>
  <c r="P28" i="24"/>
  <c r="W31" i="22"/>
  <c r="N27" i="23"/>
  <c r="Z29" i="22"/>
  <c r="Q27" i="24"/>
  <c r="AA29" i="25"/>
  <c r="AT29" i="23"/>
  <c r="CD31" i="22"/>
  <c r="BB28" i="22"/>
  <c r="G26" i="25"/>
  <c r="AD26" i="23"/>
  <c r="Y29" i="23"/>
  <c r="AR32" i="22"/>
  <c r="A29" i="25"/>
  <c r="AS31" i="22"/>
  <c r="AH32" i="23"/>
  <c r="BI34" i="22"/>
  <c r="L32" i="25"/>
  <c r="BL39" i="22"/>
  <c r="BL43" i="22"/>
  <c r="BL41" i="22"/>
  <c r="BL37" i="22"/>
  <c r="BL38" i="22"/>
  <c r="BL42" i="22"/>
  <c r="BL40" i="22"/>
  <c r="AF25" i="23"/>
  <c r="J25" i="25"/>
  <c r="O31" i="25"/>
  <c r="AJ31" i="23"/>
  <c r="B28" i="25"/>
  <c r="Z28" i="23"/>
  <c r="AU30" i="22"/>
  <c r="AY30" i="22"/>
  <c r="AC27" i="23"/>
  <c r="F27" i="25"/>
  <c r="AZ29" i="22"/>
  <c r="E27" i="25"/>
  <c r="AB27" i="23"/>
  <c r="Y27" i="24"/>
  <c r="T27" i="23"/>
  <c r="X25" i="23"/>
  <c r="AD25" i="24"/>
  <c r="E29" i="22"/>
  <c r="B27" i="24"/>
  <c r="B27" i="23"/>
  <c r="E26" i="24"/>
  <c r="D26" i="23"/>
  <c r="Q30" i="22"/>
  <c r="P31" i="22"/>
  <c r="K28" i="24"/>
  <c r="I28" i="23"/>
  <c r="AN28" i="22"/>
  <c r="AA26" i="24"/>
  <c r="V26" i="23"/>
  <c r="L29" i="22"/>
  <c r="F27" i="23"/>
  <c r="G27" i="24"/>
  <c r="AD32" i="22"/>
  <c r="AE31" i="22"/>
  <c r="U29" i="24"/>
  <c r="Q29" i="23"/>
  <c r="O26" i="24"/>
  <c r="L26" i="23"/>
  <c r="C30" i="22"/>
  <c r="B31" i="22"/>
  <c r="A28" i="24"/>
  <c r="A28" i="23"/>
  <c r="J26" i="24"/>
  <c r="H26" i="23"/>
  <c r="L27" i="24"/>
  <c r="S29" i="22"/>
  <c r="J27" i="23"/>
  <c r="AL29" i="22"/>
  <c r="AK30" i="22"/>
  <c r="Z27" i="24"/>
  <c r="U27" i="23"/>
  <c r="J30" i="22"/>
  <c r="I31" i="22"/>
  <c r="F28" i="24"/>
  <c r="E28" i="23"/>
  <c r="AG30" i="22"/>
  <c r="V28" i="24"/>
  <c r="R28" i="23"/>
  <c r="AT30" i="23" l="1"/>
  <c r="CD32" i="22"/>
  <c r="AA30" i="25"/>
  <c r="M29" i="23"/>
  <c r="X31" i="22"/>
  <c r="P29" i="24"/>
  <c r="W32" i="22"/>
  <c r="AD29" i="25"/>
  <c r="AV29" i="23"/>
  <c r="P27" i="23"/>
  <c r="T27" i="24"/>
  <c r="Z30" i="22"/>
  <c r="N28" i="23"/>
  <c r="Q28" i="24"/>
  <c r="CA34" i="22"/>
  <c r="AS31" i="23"/>
  <c r="Z31" i="25"/>
  <c r="CB33" i="22"/>
  <c r="G27" i="25"/>
  <c r="BB29" i="22"/>
  <c r="AD27" i="23"/>
  <c r="AB28" i="23"/>
  <c r="E28" i="25"/>
  <c r="AU31" i="22"/>
  <c r="Z29" i="23"/>
  <c r="B29" i="25"/>
  <c r="AY31" i="22"/>
  <c r="F28" i="25"/>
  <c r="AC28" i="23"/>
  <c r="AZ30" i="22"/>
  <c r="AJ32" i="23"/>
  <c r="O32" i="25"/>
  <c r="A30" i="25"/>
  <c r="AR33" i="22"/>
  <c r="Y30" i="23"/>
  <c r="AS32" i="22"/>
  <c r="J26" i="25"/>
  <c r="AF26" i="23"/>
  <c r="L28" i="24"/>
  <c r="S30" i="22"/>
  <c r="J28" i="23"/>
  <c r="AG31" i="22"/>
  <c r="R29" i="23"/>
  <c r="V29" i="24"/>
  <c r="E27" i="24"/>
  <c r="D27" i="23"/>
  <c r="J31" i="22"/>
  <c r="I32" i="22"/>
  <c r="F29" i="24"/>
  <c r="E29" i="23"/>
  <c r="AL30" i="22"/>
  <c r="AK31" i="22"/>
  <c r="Z28" i="24"/>
  <c r="U28" i="23"/>
  <c r="AD33" i="22"/>
  <c r="AE32" i="22"/>
  <c r="U30" i="24"/>
  <c r="Q30" i="23"/>
  <c r="B28" i="24"/>
  <c r="B28" i="23"/>
  <c r="E30" i="22"/>
  <c r="AD26" i="24"/>
  <c r="X26" i="23"/>
  <c r="O27" i="24"/>
  <c r="L27" i="23"/>
  <c r="J27" i="24"/>
  <c r="H27" i="23"/>
  <c r="Y28" i="24"/>
  <c r="T28" i="23"/>
  <c r="F28" i="23"/>
  <c r="G28" i="24"/>
  <c r="L30" i="22"/>
  <c r="AN29" i="22"/>
  <c r="AA27" i="24"/>
  <c r="V27" i="23"/>
  <c r="B32" i="22"/>
  <c r="A29" i="24"/>
  <c r="C31" i="22"/>
  <c r="A29" i="23"/>
  <c r="P32" i="22"/>
  <c r="Q31" i="22"/>
  <c r="K29" i="24"/>
  <c r="I29" i="23"/>
  <c r="T28" i="24" l="1"/>
  <c r="P28" i="23"/>
  <c r="W33" i="22"/>
  <c r="P30" i="24"/>
  <c r="M30" i="23"/>
  <c r="X32" i="22"/>
  <c r="CA35" i="22"/>
  <c r="AS32" i="23"/>
  <c r="Z32" i="25"/>
  <c r="CB34" i="22"/>
  <c r="AV30" i="23"/>
  <c r="AD30" i="25"/>
  <c r="CD33" i="22"/>
  <c r="AT31" i="23"/>
  <c r="AA31" i="25"/>
  <c r="N29" i="23"/>
  <c r="Z31" i="22"/>
  <c r="Q29" i="24"/>
  <c r="AS33" i="22"/>
  <c r="Y31" i="23"/>
  <c r="A31" i="25"/>
  <c r="G28" i="25"/>
  <c r="BB30" i="22"/>
  <c r="AD28" i="23"/>
  <c r="Z30" i="23"/>
  <c r="AU32" i="22"/>
  <c r="B30" i="25"/>
  <c r="E29" i="25"/>
  <c r="AB29" i="23"/>
  <c r="J27" i="25"/>
  <c r="AF27" i="23"/>
  <c r="AY32" i="22"/>
  <c r="F29" i="25"/>
  <c r="AC29" i="23"/>
  <c r="AZ31" i="22"/>
  <c r="Y29" i="24"/>
  <c r="T29" i="23"/>
  <c r="E28" i="24"/>
  <c r="D28" i="23"/>
  <c r="Q32" i="22"/>
  <c r="P33" i="22"/>
  <c r="K30" i="24"/>
  <c r="I30" i="23"/>
  <c r="C32" i="22"/>
  <c r="B33" i="22"/>
  <c r="A30" i="24"/>
  <c r="A30" i="23"/>
  <c r="J28" i="24"/>
  <c r="H28" i="23"/>
  <c r="V30" i="24"/>
  <c r="AG32" i="22"/>
  <c r="R30" i="23"/>
  <c r="AL31" i="22"/>
  <c r="AK32" i="22"/>
  <c r="Z29" i="24"/>
  <c r="U29" i="23"/>
  <c r="J32" i="22"/>
  <c r="I33" i="22"/>
  <c r="F30" i="24"/>
  <c r="E30" i="23"/>
  <c r="O28" i="24"/>
  <c r="L28" i="23"/>
  <c r="E31" i="22"/>
  <c r="B29" i="24"/>
  <c r="B29" i="23"/>
  <c r="S31" i="22"/>
  <c r="L29" i="24"/>
  <c r="J29" i="23"/>
  <c r="AD27" i="24"/>
  <c r="X27" i="23"/>
  <c r="AD34" i="22"/>
  <c r="AE33" i="22"/>
  <c r="U31" i="24"/>
  <c r="Q31" i="23"/>
  <c r="AN30" i="22"/>
  <c r="AA28" i="24"/>
  <c r="V28" i="23"/>
  <c r="L31" i="22"/>
  <c r="F29" i="23"/>
  <c r="G29" i="24"/>
  <c r="Z33" i="25" l="1"/>
  <c r="AS33" i="23"/>
  <c r="CB35" i="22"/>
  <c r="AA32" i="25"/>
  <c r="CD34" i="22"/>
  <c r="AT32" i="23"/>
  <c r="Z32" i="22"/>
  <c r="Q30" i="24"/>
  <c r="N30" i="23"/>
  <c r="M31" i="23"/>
  <c r="P31" i="24"/>
  <c r="X33" i="22"/>
  <c r="W34" i="22"/>
  <c r="T29" i="24"/>
  <c r="P29" i="23"/>
  <c r="AV31" i="23"/>
  <c r="AD31" i="25"/>
  <c r="AB30" i="23"/>
  <c r="E30" i="25"/>
  <c r="AY33" i="22"/>
  <c r="F30" i="25"/>
  <c r="AC30" i="23"/>
  <c r="AZ32" i="22"/>
  <c r="BB31" i="22"/>
  <c r="G29" i="25"/>
  <c r="AD29" i="23"/>
  <c r="J28" i="25"/>
  <c r="AF28" i="23"/>
  <c r="Z31" i="23"/>
  <c r="B31" i="25"/>
  <c r="AU33" i="22"/>
  <c r="AB31" i="23" s="1"/>
  <c r="AX42" i="22"/>
  <c r="AX37" i="22"/>
  <c r="AX39" i="22"/>
  <c r="AX43" i="22"/>
  <c r="AX38" i="22"/>
  <c r="AX41" i="22"/>
  <c r="AX40" i="22"/>
  <c r="AG33" i="22"/>
  <c r="V31" i="24"/>
  <c r="R31" i="23"/>
  <c r="AD28" i="24"/>
  <c r="X28" i="23"/>
  <c r="AD35" i="22"/>
  <c r="AE34" i="22"/>
  <c r="U32" i="24"/>
  <c r="Q32" i="23"/>
  <c r="E29" i="24"/>
  <c r="D29" i="23"/>
  <c r="Y30" i="24"/>
  <c r="T30" i="23"/>
  <c r="O29" i="24"/>
  <c r="L29" i="23"/>
  <c r="J33" i="22"/>
  <c r="F31" i="24"/>
  <c r="I34" i="22"/>
  <c r="E31" i="23"/>
  <c r="AL32" i="22"/>
  <c r="AK33" i="22"/>
  <c r="Z30" i="24"/>
  <c r="U30" i="23"/>
  <c r="J29" i="24"/>
  <c r="H29" i="23"/>
  <c r="L32" i="22"/>
  <c r="F30" i="23"/>
  <c r="G30" i="24"/>
  <c r="AN31" i="22"/>
  <c r="AA29" i="24"/>
  <c r="V29" i="23"/>
  <c r="B34" i="22"/>
  <c r="C33" i="22"/>
  <c r="A31" i="24"/>
  <c r="A31" i="23"/>
  <c r="P34" i="22"/>
  <c r="Q33" i="22"/>
  <c r="K31" i="24"/>
  <c r="I31" i="23"/>
  <c r="E32" i="22"/>
  <c r="B30" i="23"/>
  <c r="B30" i="24"/>
  <c r="S32" i="22"/>
  <c r="J30" i="23"/>
  <c r="L30" i="24"/>
  <c r="Z33" i="22" l="1"/>
  <c r="N31" i="23"/>
  <c r="Q31" i="24"/>
  <c r="P30" i="23"/>
  <c r="T30" i="24"/>
  <c r="AA33" i="25"/>
  <c r="AT33" i="23"/>
  <c r="CD35" i="22"/>
  <c r="CG41" i="22"/>
  <c r="CG38" i="22"/>
  <c r="CG37" i="22"/>
  <c r="CG39" i="22"/>
  <c r="CG43" i="22"/>
  <c r="CG42" i="22"/>
  <c r="CG40" i="22"/>
  <c r="P32" i="24"/>
  <c r="M32" i="23"/>
  <c r="X34" i="22"/>
  <c r="AC40" i="22" s="1"/>
  <c r="AD32" i="25"/>
  <c r="AV32" i="23"/>
  <c r="J29" i="25"/>
  <c r="AF29" i="23"/>
  <c r="AY34" i="22"/>
  <c r="AC31" i="23"/>
  <c r="F31" i="25"/>
  <c r="AZ33" i="22"/>
  <c r="AD30" i="23"/>
  <c r="G30" i="25"/>
  <c r="BB32" i="22"/>
  <c r="E30" i="24"/>
  <c r="D30" i="23"/>
  <c r="Q34" i="22"/>
  <c r="P35" i="22"/>
  <c r="K32" i="24"/>
  <c r="I32" i="23"/>
  <c r="C34" i="22"/>
  <c r="B35" i="22"/>
  <c r="A32" i="24"/>
  <c r="A32" i="23"/>
  <c r="AA30" i="24"/>
  <c r="AN32" i="22"/>
  <c r="V30" i="23"/>
  <c r="L33" i="22"/>
  <c r="F31" i="23"/>
  <c r="G31" i="24"/>
  <c r="O30" i="24"/>
  <c r="L30" i="23"/>
  <c r="V32" i="24"/>
  <c r="R32" i="23"/>
  <c r="J30" i="24"/>
  <c r="H30" i="23"/>
  <c r="J34" i="22"/>
  <c r="F32" i="24"/>
  <c r="E32" i="23"/>
  <c r="AE35" i="22"/>
  <c r="U33" i="24"/>
  <c r="Q33" i="23"/>
  <c r="S33" i="22"/>
  <c r="L31" i="24"/>
  <c r="J31" i="23"/>
  <c r="E33" i="22"/>
  <c r="B31" i="24"/>
  <c r="B31" i="23"/>
  <c r="AD29" i="24"/>
  <c r="X29" i="23"/>
  <c r="AL33" i="22"/>
  <c r="AK34" i="22"/>
  <c r="Z31" i="24"/>
  <c r="U31" i="23"/>
  <c r="Y31" i="24"/>
  <c r="T31" i="23"/>
  <c r="AC43" i="22" l="1"/>
  <c r="Z34" i="22"/>
  <c r="N32" i="23"/>
  <c r="Q32" i="24"/>
  <c r="AC37" i="22"/>
  <c r="AC38" i="22"/>
  <c r="AC42" i="22"/>
  <c r="AV33" i="23"/>
  <c r="AD33" i="25"/>
  <c r="AC41" i="22"/>
  <c r="AC39" i="22"/>
  <c r="T31" i="24"/>
  <c r="P31" i="23"/>
  <c r="AY35" i="22"/>
  <c r="F32" i="25"/>
  <c r="AC32" i="23"/>
  <c r="AZ34" i="22"/>
  <c r="AD31" i="23"/>
  <c r="BB33" i="22"/>
  <c r="G31" i="25"/>
  <c r="AF30" i="23"/>
  <c r="J30" i="25"/>
  <c r="E31" i="24"/>
  <c r="E31" i="25"/>
  <c r="D31" i="23"/>
  <c r="AD30" i="24"/>
  <c r="X30" i="23"/>
  <c r="C35" i="22"/>
  <c r="A33" i="24"/>
  <c r="A33" i="23"/>
  <c r="K33" i="24"/>
  <c r="Q35" i="22"/>
  <c r="I33" i="23"/>
  <c r="AN33" i="22"/>
  <c r="AA31" i="24"/>
  <c r="V31" i="23"/>
  <c r="L34" i="22"/>
  <c r="F32" i="23"/>
  <c r="G32" i="24"/>
  <c r="O40" i="22"/>
  <c r="O43" i="22"/>
  <c r="O41" i="22"/>
  <c r="O38" i="22"/>
  <c r="O37" i="22"/>
  <c r="O42" i="22"/>
  <c r="O39" i="22"/>
  <c r="B32" i="24"/>
  <c r="B32" i="23"/>
  <c r="E34" i="22"/>
  <c r="S34" i="22"/>
  <c r="L32" i="24"/>
  <c r="J32" i="23"/>
  <c r="AL34" i="22"/>
  <c r="AK35" i="22"/>
  <c r="Z32" i="24"/>
  <c r="U32" i="23"/>
  <c r="AG35" i="22"/>
  <c r="V33" i="24"/>
  <c r="R33" i="23"/>
  <c r="AJ37" i="22"/>
  <c r="AJ42" i="22"/>
  <c r="AJ39" i="22"/>
  <c r="AJ43" i="22"/>
  <c r="AJ41" i="22"/>
  <c r="AJ40" i="22"/>
  <c r="AJ38" i="22"/>
  <c r="J31" i="24"/>
  <c r="H31" i="23"/>
  <c r="O31" i="24"/>
  <c r="L31" i="23"/>
  <c r="T32" i="24" l="1"/>
  <c r="P32" i="23"/>
  <c r="BB34" i="22"/>
  <c r="G32" i="25"/>
  <c r="AD32" i="23"/>
  <c r="AF31" i="23"/>
  <c r="J31" i="25"/>
  <c r="F33" i="25"/>
  <c r="AC33" i="23"/>
  <c r="AZ35" i="22"/>
  <c r="AL35" i="22"/>
  <c r="Z33" i="24"/>
  <c r="U33" i="23"/>
  <c r="O32" i="24"/>
  <c r="L32" i="23"/>
  <c r="AD31" i="24"/>
  <c r="X31" i="23"/>
  <c r="Y33" i="24"/>
  <c r="T33" i="23"/>
  <c r="AN34" i="22"/>
  <c r="V32" i="23"/>
  <c r="AA32" i="24"/>
  <c r="E32" i="24"/>
  <c r="D32" i="23"/>
  <c r="J32" i="24"/>
  <c r="H32" i="23"/>
  <c r="S35" i="22"/>
  <c r="L33" i="24"/>
  <c r="J33" i="23"/>
  <c r="V37" i="22"/>
  <c r="V40" i="22"/>
  <c r="V42" i="22"/>
  <c r="V43" i="22"/>
  <c r="V41" i="22"/>
  <c r="V39" i="22"/>
  <c r="V38" i="22"/>
  <c r="E35" i="22"/>
  <c r="B33" i="24"/>
  <c r="B33" i="23"/>
  <c r="H43" i="22"/>
  <c r="H37" i="22"/>
  <c r="H41" i="22"/>
  <c r="H42" i="22"/>
  <c r="H38" i="22"/>
  <c r="H39" i="22"/>
  <c r="H40" i="22"/>
  <c r="AD33" i="23" l="1"/>
  <c r="BB35" i="22"/>
  <c r="G33" i="25"/>
  <c r="BE40" i="22"/>
  <c r="BE37" i="22"/>
  <c r="BE43" i="22"/>
  <c r="BE39" i="22"/>
  <c r="BE42" i="22"/>
  <c r="BE38" i="22"/>
  <c r="BE41" i="22"/>
  <c r="AF32" i="23"/>
  <c r="J32" i="25"/>
  <c r="AD32" i="24"/>
  <c r="X32" i="23"/>
  <c r="E33" i="24"/>
  <c r="D33" i="23"/>
  <c r="O33" i="24"/>
  <c r="L33" i="23"/>
  <c r="AN35" i="22"/>
  <c r="AA33" i="24"/>
  <c r="V33" i="23"/>
  <c r="AQ37" i="22"/>
  <c r="AQ38" i="22"/>
  <c r="AQ41" i="22"/>
  <c r="AQ40" i="22"/>
  <c r="AQ39" i="22"/>
  <c r="AQ42" i="22"/>
  <c r="AQ43" i="22"/>
  <c r="CJ43" i="22" s="1"/>
  <c r="O41" i="23" s="1"/>
  <c r="CJ41" i="22" l="1"/>
  <c r="AM39" i="23" s="1"/>
  <c r="CJ37" i="22"/>
  <c r="G39" i="23" s="1"/>
  <c r="CJ38" i="22"/>
  <c r="O39" i="23" s="1"/>
  <c r="CJ39" i="22"/>
  <c r="W39" i="23" s="1"/>
  <c r="CJ42" i="22"/>
  <c r="G41" i="23" s="1"/>
  <c r="AF33" i="23"/>
  <c r="J33" i="25"/>
  <c r="CJ40" i="22"/>
  <c r="AE39" i="23" s="1"/>
  <c r="AD33" i="24"/>
  <c r="X33" i="23"/>
  <c r="CJ44" i="22" l="1"/>
</calcChain>
</file>

<file path=xl/sharedStrings.xml><?xml version="1.0" encoding="utf-8"?>
<sst xmlns="http://schemas.openxmlformats.org/spreadsheetml/2006/main" count="2632" uniqueCount="403">
  <si>
    <t>Opgaveoversigt</t>
  </si>
  <si>
    <t>sum</t>
  </si>
  <si>
    <t>Skolens navn</t>
  </si>
  <si>
    <t>lærerens navn</t>
  </si>
  <si>
    <t>vedr. skoleåret</t>
  </si>
  <si>
    <t>Skriv kun i de gule felter</t>
  </si>
  <si>
    <t>Dansk</t>
  </si>
  <si>
    <t>Matematik</t>
  </si>
  <si>
    <t>Musik</t>
  </si>
  <si>
    <t>Engelsk</t>
  </si>
  <si>
    <t>Antal skoledage</t>
  </si>
  <si>
    <t>Antal dage</t>
  </si>
  <si>
    <t>Ekskursioner</t>
  </si>
  <si>
    <t>Bornholm - 110 timer i alt</t>
  </si>
  <si>
    <t>Uv. Timer pr. dag</t>
  </si>
  <si>
    <t>Uv. I alt</t>
  </si>
  <si>
    <t>Andre opgaver</t>
  </si>
  <si>
    <t>Tilsyn - ovf. Fra lejreskole, ekskursioner</t>
  </si>
  <si>
    <t>El-museet</t>
  </si>
  <si>
    <t>Klasselærer</t>
  </si>
  <si>
    <t>Årgang/hold</t>
  </si>
  <si>
    <t>Undervisningstimer i alt</t>
  </si>
  <si>
    <t>Ansvar for natur/teknik lokalet</t>
  </si>
  <si>
    <t>Danfoss Univerce</t>
  </si>
  <si>
    <t>Dette skema er tænkt som en summarisk opgaveoversigt, herudover bør suppleres med arbejdsbeskrivelser af de enkelte opgaver - ligesom i de »gamle« lokalaftaler.</t>
  </si>
  <si>
    <t>Skole:</t>
  </si>
  <si>
    <t>Periodens samlede arbejdstid</t>
  </si>
  <si>
    <t>Beskæftigelsesgrad:</t>
  </si>
  <si>
    <t>Gennemsnitlig arbejdstid pr. dag:</t>
  </si>
  <si>
    <t>Fra:</t>
  </si>
  <si>
    <t>Til:</t>
  </si>
  <si>
    <t>Heraf antal lørdag og søndage</t>
  </si>
  <si>
    <t>Antal søgne/helligdage</t>
  </si>
  <si>
    <t>Antal feriedage i perioden</t>
  </si>
  <si>
    <t>Perioden denne arbejdstidsoversigt er gældende for:</t>
  </si>
  <si>
    <t>Timer pr. dag</t>
  </si>
  <si>
    <t>Timer i alt</t>
  </si>
  <si>
    <t>Antal timer</t>
  </si>
  <si>
    <t>Timer hjem-rejsedag</t>
  </si>
  <si>
    <t>Antal hele dage</t>
  </si>
  <si>
    <t>Planlagt arbejdstid på hverdage imellem kl. 17:00 - 06:00</t>
  </si>
  <si>
    <t>x</t>
  </si>
  <si>
    <r>
      <rPr>
        <sz val="12"/>
        <color theme="1"/>
        <rFont val="Calibri"/>
        <family val="2"/>
        <scheme val="minor"/>
      </rPr>
      <t>Benævnelse af arrangementet:</t>
    </r>
  </si>
  <si>
    <t>A</t>
  </si>
  <si>
    <t>B</t>
  </si>
  <si>
    <t>C</t>
  </si>
  <si>
    <t>D</t>
  </si>
  <si>
    <t>Lektioner</t>
  </si>
  <si>
    <t>Lektionernes varrighed</t>
  </si>
  <si>
    <t>Mandag</t>
  </si>
  <si>
    <t>Tirsdag</t>
  </si>
  <si>
    <t>Onsdag</t>
  </si>
  <si>
    <t>Torsdag</t>
  </si>
  <si>
    <t>Fredag</t>
  </si>
  <si>
    <t>Kunst/design</t>
  </si>
  <si>
    <t>Sløjd</t>
  </si>
  <si>
    <t>Tysk</t>
  </si>
  <si>
    <t>Fysik</t>
  </si>
  <si>
    <t>Morgensang</t>
  </si>
  <si>
    <t>Idræt</t>
  </si>
  <si>
    <t>Nyheder</t>
  </si>
  <si>
    <t>Antal "normale undervisningstimer</t>
  </si>
  <si>
    <t>Undervisningstimer i hele normperioden</t>
  </si>
  <si>
    <t>Skoleskema</t>
  </si>
  <si>
    <t xml:space="preserve">Undervisningstimer på lejrskoler </t>
  </si>
  <si>
    <t xml:space="preserve">Undervisningstimer på ekskurtioner </t>
  </si>
  <si>
    <t xml:space="preserve">Undervisningstimer på emnedage og fagdage </t>
  </si>
  <si>
    <t xml:space="preserve">Optælling af skoledagene i række 21, er en optælling af helt almindelige skoledage, hvor der læses dette skoleskema. </t>
  </si>
  <si>
    <t>Medarbejder:</t>
  </si>
  <si>
    <t>Hele klokketimer - teksten kan ændres - flere linier imellem linie 24-26 kan indsættes</t>
  </si>
  <si>
    <t>Antal ugedage i perioden, hvor der læses normalt skoleskema</t>
  </si>
  <si>
    <t>5</t>
  </si>
  <si>
    <t xml:space="preserve">Periodens samlede tid </t>
  </si>
  <si>
    <t>6</t>
  </si>
  <si>
    <t>Arbejdstiden</t>
  </si>
  <si>
    <t>Tid til øvrige opgaver(Tilsyn, forberedelse samt øvrige opgaver ifølge udleveret opgaveoversigt)</t>
  </si>
  <si>
    <t>Antal klokketimer pr. dag pr. år</t>
  </si>
  <si>
    <t>Mandage</t>
  </si>
  <si>
    <t>Tirsdage</t>
  </si>
  <si>
    <t>Onsdage</t>
  </si>
  <si>
    <t>Torsdage</t>
  </si>
  <si>
    <t>Fredage</t>
  </si>
  <si>
    <t>Evt. overtid/undertid(+/-)</t>
  </si>
  <si>
    <t>Lektion</t>
  </si>
  <si>
    <t xml:space="preserve">VIGTIGT: Hvis en lektion er skemafri - skal feltet være blankt </t>
  </si>
  <si>
    <t>Undervisningstimer på ovennænvte fag/emnedage</t>
  </si>
  <si>
    <t>Antal fag/emnedage ovennænvte timer læses på:</t>
  </si>
  <si>
    <t>Udfyld skemaet med de enkelte fag som udløser uv-tillæg.</t>
  </si>
  <si>
    <t>Tid til øvrige opgaver</t>
  </si>
  <si>
    <t>Kl. Fra:</t>
  </si>
  <si>
    <t>Kl. Til:</t>
  </si>
  <si>
    <t>Antal min</t>
  </si>
  <si>
    <t>Liste over fagdage/emnedage</t>
  </si>
  <si>
    <t>Opgaveoversigt for:</t>
  </si>
  <si>
    <t>Skoleåret:</t>
  </si>
  <si>
    <t>Arbejdstidsoversigt for skoleåret:</t>
  </si>
  <si>
    <t>4</t>
  </si>
  <si>
    <t>Skolen starter kl.</t>
  </si>
  <si>
    <t>Antal timer til øvrige opgaver</t>
  </si>
  <si>
    <t>Dato fra:</t>
  </si>
  <si>
    <t>Dato til:</t>
  </si>
  <si>
    <t>Heraf uv. Ifølge skoleskema</t>
  </si>
  <si>
    <t>Gældende for perioden:</t>
  </si>
  <si>
    <t>Dagen slutter kl.</t>
  </si>
  <si>
    <t>Oplyst i skema 5</t>
  </si>
  <si>
    <t>Oplyst i skema 3</t>
  </si>
  <si>
    <t xml:space="preserve">Antal helt almindelige skoledage i normperioden(Dage hvor der læses skoleskema, fagdage, emnedage) </t>
  </si>
  <si>
    <t>Beregning på en skoledags middellængde, til brug for fastsættelse af antal arbejdstimer på de dage der læses skoleskema eller hvor der afholdes fagdage/emneuger.</t>
  </si>
  <si>
    <t>Liste over øvrige opgaver</t>
  </si>
  <si>
    <t>Komme og gå-tider:</t>
  </si>
  <si>
    <t xml:space="preserve">Angiv hvor mange dage, der ifølge skolens kalender er, for den valgte periode(Et helt skoleår eller en del af et skoleår). </t>
  </si>
  <si>
    <t xml:space="preserve">Perioden indeholder </t>
  </si>
  <si>
    <t>Antal ugedage i perioden, hvor der læses et normalt skoleskema</t>
  </si>
  <si>
    <t>Undervisningstimetal for hele normperioden</t>
  </si>
  <si>
    <t>Arbejdsplan(skoleskema)</t>
  </si>
  <si>
    <t>Planlagte arbejdsdage uden undervisning</t>
  </si>
  <si>
    <t>Fra skema nr.</t>
  </si>
  <si>
    <t>Antal dage med undervisning</t>
  </si>
  <si>
    <t>Antal arbejdstimer på normale undervisningsdage, emnedage/fagdage:</t>
  </si>
  <si>
    <t>= Faktiske arbejdstid på alm. undervisningsdage, fagdage, emnedage og lign.</t>
  </si>
  <si>
    <t>Beskrivelse:</t>
  </si>
  <si>
    <t>Beskrivelse af de øvrige opgaver:</t>
  </si>
  <si>
    <r>
      <rPr>
        <i/>
        <sz val="12"/>
        <color theme="1"/>
        <rFont val="Calibri"/>
        <family val="2"/>
        <scheme val="minor"/>
      </rPr>
      <t>Oplysning:</t>
    </r>
    <r>
      <rPr>
        <sz val="12"/>
        <color theme="1"/>
        <rFont val="Calibri"/>
        <family val="2"/>
        <scheme val="minor"/>
      </rPr>
      <t xml:space="preserve"> Selve time-forbruget indregnes automatisk i årsnormen</t>
    </r>
  </si>
  <si>
    <t>Ugedag:</t>
  </si>
  <si>
    <t>Planlagt arbejdstid i weekender fra lørdag kl. 00:00 til søndag kl: 24:00</t>
  </si>
  <si>
    <t>Heraf undervisningstimer på alm. Skoledage, emnedage og fagdage</t>
  </si>
  <si>
    <t>Undervisningstimer vedr. lejrskoler - ekskursioner</t>
  </si>
  <si>
    <t>3. -  KUN TIL BEREGNING AF UNDERVISNINGSTILLÆG</t>
  </si>
  <si>
    <t>Lektionernes varrighed.       Angiv antal min. pr. lektion</t>
  </si>
  <si>
    <r>
      <t xml:space="preserve">Antal </t>
    </r>
    <r>
      <rPr>
        <b/>
        <sz val="10"/>
        <color theme="1"/>
        <rFont val="Calibri"/>
        <family val="2"/>
        <scheme val="minor"/>
      </rPr>
      <t>klokketimer</t>
    </r>
    <r>
      <rPr>
        <sz val="10"/>
        <color theme="1"/>
        <rFont val="Calibri"/>
        <family val="2"/>
        <scheme val="minor"/>
      </rPr>
      <t xml:space="preserve"> pr. dag i normperioden, der læses skema</t>
    </r>
  </si>
  <si>
    <t>Antal undervisningstimer efter skoleskema samt på fagdage/emnedage</t>
  </si>
  <si>
    <t>Undervisningstimer for dette skema</t>
  </si>
  <si>
    <t>Benævnelse af de undervisningsfrie dage:</t>
  </si>
  <si>
    <t>Timeforbrug i alt på de undervisningsfrie dage</t>
  </si>
  <si>
    <t>Benævnelse af lejrskole/ekskursionsdagene:</t>
  </si>
  <si>
    <t>Timeforbrug i alt til lejrskole og ekskursioner planlagt på hverdage</t>
  </si>
  <si>
    <t>Beregning af takster for aftentillæg, weekendtillæg og weekendtimer til udbetaling</t>
  </si>
  <si>
    <t>Navn:</t>
  </si>
  <si>
    <t>Lin.</t>
  </si>
  <si>
    <t>AKTUELLE MÅNEDSLØNNINGER:</t>
  </si>
  <si>
    <t>Basisløn</t>
  </si>
  <si>
    <r>
      <t xml:space="preserve">Områdetillæg </t>
    </r>
    <r>
      <rPr>
        <i/>
        <sz val="10"/>
        <color theme="1"/>
        <rFont val="Calibri"/>
        <family val="2"/>
        <scheme val="minor"/>
      </rPr>
      <t>(kun i stedtillægsområde 3 - 6)</t>
    </r>
  </si>
  <si>
    <r>
      <t>OK08-tillæg</t>
    </r>
    <r>
      <rPr>
        <i/>
        <sz val="12"/>
        <color theme="1"/>
        <rFont val="Calibri"/>
        <family val="2"/>
        <scheme val="minor"/>
      </rPr>
      <t xml:space="preserve"> </t>
    </r>
    <r>
      <rPr>
        <i/>
        <sz val="10"/>
        <color theme="1"/>
        <rFont val="Calibri"/>
        <family val="2"/>
        <scheme val="minor"/>
      </rPr>
      <t>(kun til basistrin 1, 2 og 3)</t>
    </r>
  </si>
  <si>
    <r>
      <t>OK13-tillæg</t>
    </r>
    <r>
      <rPr>
        <i/>
        <sz val="10"/>
        <color theme="1"/>
        <rFont val="Calibri"/>
        <family val="2"/>
        <scheme val="minor"/>
      </rPr>
      <t xml:space="preserve"> (udbetales fra 1. aug. 2014 til alle lærere og bhkl.ledere)</t>
    </r>
  </si>
  <si>
    <r>
      <t>Trin 4-tillæg</t>
    </r>
    <r>
      <rPr>
        <i/>
        <sz val="10"/>
        <color theme="1"/>
        <rFont val="Calibri"/>
        <family val="2"/>
        <scheme val="minor"/>
      </rPr>
      <t xml:space="preserve"> (til de lærere og bhkl.ledere, der pr. 1. april 2013 havde mindst 12 års anciennitet)</t>
    </r>
  </si>
  <si>
    <r>
      <t>Udligningstillæg</t>
    </r>
    <r>
      <rPr>
        <i/>
        <sz val="10"/>
        <color theme="1"/>
        <rFont val="Calibri"/>
        <family val="2"/>
        <scheme val="minor"/>
      </rPr>
      <t xml:space="preserve"> (beregnet 1. aug 2004 v. overgang til basisløn. Ikke samtidig m. trin 4-tillæg!)</t>
    </r>
  </si>
  <si>
    <t>Omregnet til 100% beskæftigelse</t>
  </si>
  <si>
    <t>25% aftentillæg og weekendtillæg, hvis tillægget ikke afspadseres:</t>
  </si>
  <si>
    <t>50% weekendtillæg, hvis tillægget ikke afspadseres</t>
  </si>
  <si>
    <t>Weekendtimetakst, hvis timerne ikke afspadseres</t>
  </si>
  <si>
    <t>Samlet weekendtakst pr. time (ikke pensionsgivende)</t>
  </si>
  <si>
    <t>Udbetaling - Beregning heraf: se fanen "Ulempe-weekendtillæg"</t>
  </si>
  <si>
    <t>- Timeforbrug på planlagte arbejdsdage uden undervisning</t>
  </si>
  <si>
    <t xml:space="preserve">Antal lejrskoledage/ekskursionsdage planlagt på almindelige skoledage </t>
  </si>
  <si>
    <t>Oversigt over dagene:</t>
  </si>
  <si>
    <r>
      <t>Angiv her mødetids-punkt</t>
    </r>
    <r>
      <rPr>
        <sz val="10"/>
        <color theme="1"/>
        <rFont val="Calibri"/>
        <family val="2"/>
        <scheme val="minor"/>
      </rPr>
      <t xml:space="preserve">                  (07:45 = 07.45 eller 07:45)</t>
    </r>
  </si>
  <si>
    <t>AUGUST</t>
  </si>
  <si>
    <t>SEPTEMBER</t>
  </si>
  <si>
    <t>OKTOBER</t>
  </si>
  <si>
    <t>NOVEMBER</t>
  </si>
  <si>
    <t>DECEMBER</t>
  </si>
  <si>
    <t>JANUAR</t>
  </si>
  <si>
    <t>2. juledag</t>
  </si>
  <si>
    <t>Skoledage i alt:</t>
  </si>
  <si>
    <t>Hele skoleåret</t>
  </si>
  <si>
    <t>FEBRUAR</t>
  </si>
  <si>
    <t>MARTS</t>
  </si>
  <si>
    <t>APRIL</t>
  </si>
  <si>
    <t>MAJ</t>
  </si>
  <si>
    <t>JUNI</t>
  </si>
  <si>
    <t>JULI</t>
  </si>
  <si>
    <t>Skærtorsdag</t>
  </si>
  <si>
    <t>Arbejdsopgaver på hverdage imellem kl. 17:00 - 06:00</t>
  </si>
  <si>
    <t>Arbejdsopgaver i weekender fra fredag kl. 00:00 til søndag kl. 24:00</t>
  </si>
  <si>
    <t xml:space="preserve">Øvrige opgaver som planmæssigt ligger på hverdage imellem kl. 06:00 - 17:00, og som der ikke ovenfor er gjort rede for (Feks. Forberedelse, klasselærerfunktion, tilsyn, prøver/eksamner mm). </t>
  </si>
  <si>
    <t>Ved deltidsbeskæftigelse laves en målsøgning - klik på menuen 'Funktioner' og vælg 'Målsøgning', eller vælg 'Data' i båndet og klik på 'Målsøgning' i ikonet 'Hvad-hvis'. Cellen der skal ændres vælges - værdien sættes til nul og man beder om ændring på en af »timecellerne« under antal dage. Derved reguleres dagens længde. Skulle en af dagene ende med et negativt tal - så skrives der nul og processen gentages med en ny ugedag.</t>
  </si>
  <si>
    <t>E</t>
  </si>
  <si>
    <t>Angiv her de faktiske timer (24 timer for et helt døgn)</t>
  </si>
  <si>
    <t>Udbetaling - Beregning heraf: se fanen "ulempe-weekendtillæg"</t>
  </si>
  <si>
    <t>Planlagt på hverdage i tidsrummet 06:00 - 17:00</t>
  </si>
  <si>
    <t xml:space="preserve">Lejrskole og ekskursioner </t>
  </si>
  <si>
    <t>Start med at udfylde kolonne A-D, og tag derefter stilling til hvordan ulempetillæget skal tælle i kolonne E.</t>
  </si>
  <si>
    <t>Dette skema er til opgørelse af antal undervisningstimer, der danner grundlag for udbetaling af undervisningstillæg. Det første skema er til alm. skoledage, hvor der læses et helt normalt skoleskema. Derefter oplyses antal undervisningstimer på fagdage/emnedage samt tilsidst undervisningstimer på lejrskoler/ekskursioner. Skemaet giver også mulighed for at oplyse et antal undervisningstimer som ej er henført til specielle dage(feks. endnu ikke skemalagte vikartimer eller et aftensarrangement som udløser undervisningstillæg).</t>
  </si>
  <si>
    <t>Fagdage/Emnedage</t>
  </si>
  <si>
    <t>Ekstra undervisningstimer</t>
  </si>
  <si>
    <t xml:space="preserve">Fagdage/Emnedage </t>
  </si>
  <si>
    <t>Antal ekstra undervisningstimer</t>
  </si>
  <si>
    <t>Lejrskoler og ekskursioner</t>
  </si>
  <si>
    <r>
      <t xml:space="preserve"> - EVT. SENIORTID - skriv 175 for et helt årsnorm. </t>
    </r>
    <r>
      <rPr>
        <sz val="12"/>
        <color theme="1"/>
        <rFont val="Calibri"/>
        <family val="2"/>
        <scheme val="minor"/>
      </rPr>
      <t>Timerne bliver automatisk ganget med bg.</t>
    </r>
  </si>
  <si>
    <t>Dato format dd/mm/åååå</t>
  </si>
  <si>
    <t>Arbejdstid pr. uge</t>
  </si>
  <si>
    <r>
      <t xml:space="preserve">Skoleskemaets fag er taget fra skemaet i arbejdstidsoversigten. For at udfærdige et skema hvor feks. pauser/tilsyn/disp.tid fremgår, udfyldes der i dette skema antal minutter pr. lektion samt for den mellemliggende tid. </t>
    </r>
    <r>
      <rPr>
        <b/>
        <sz val="12"/>
        <color theme="1"/>
        <rFont val="Calibri"/>
        <family val="2"/>
        <scheme val="minor"/>
      </rPr>
      <t>Start med at udfylde rubrik D8 - Skriv her startstidspunktet for skoledagens start. Oplys derefter antal min hver lektion/mellemliggende tid varer. Eksempel: 45 min = 0.45 og 1 time = 0.60 eller 1.00</t>
    </r>
  </si>
  <si>
    <r>
      <t xml:space="preserve">Skoleskemaets fag er taget fra skemaet i arbejdstidsoversigten. For at udfærdige et skema hvor feks. pauser/tilsyn/disp.tid fremgår, udfyldes der i dette skema antal minutter pr. lektion samt for den mellemliggende tid.   </t>
    </r>
    <r>
      <rPr>
        <b/>
        <sz val="12"/>
        <color theme="1"/>
        <rFont val="Calibri"/>
        <family val="2"/>
        <scheme val="minor"/>
      </rPr>
      <t>Start med at udfylde rubrik D8 - Skriv her startstidspunktet for skoledagens start. Oplys derefter antal min hver lektion/mellemliggende tid varer. Eksempel: 45 min = 0.45 og 1 time = 0.60 eller 1.00</t>
    </r>
  </si>
  <si>
    <t>Skoleskemadage, fagdage og emnedage.</t>
  </si>
  <si>
    <t>Lås det opi Funktioner/beskyttelse (password er ikke nødvendigt)</t>
  </si>
  <si>
    <t>Hvis du ikke kan redigere i et ark, kan det være, at det er låst:</t>
  </si>
  <si>
    <t>Højreklik på en fane og lav en kopi.</t>
  </si>
  <si>
    <t>Har du brug for flere faner med beregninger:</t>
  </si>
  <si>
    <t>Eller højreklik og vælg 'Omdøb'.</t>
  </si>
  <si>
    <t>Dobbeltklik på fanen og skriv det nye navn.</t>
  </si>
  <si>
    <t>Du kan navngive fanerne (fx 1.halvaar) med et nyt navn:</t>
  </si>
  <si>
    <t>Gør kolonnen bredere.</t>
  </si>
  <si>
    <t>Hvis et felt viser ######, betyder det at kolonnen ikke er bred nok til at vise tallet:</t>
  </si>
  <si>
    <t>TIPS og TRICKS:</t>
  </si>
  <si>
    <t>SÆRLIGE FERIEDAGE</t>
  </si>
  <si>
    <t>Antallet af skoledage skal i gennemsnit over en årrække være på 200 dage.</t>
  </si>
  <si>
    <t>Udfyld først månedskalenderen!!!</t>
  </si>
  <si>
    <r>
      <t xml:space="preserve">Kalender beregnet til </t>
    </r>
    <r>
      <rPr>
        <b/>
        <i/>
        <sz val="14"/>
        <rFont val="Helvetica"/>
        <family val="2"/>
      </rPr>
      <t>lærerne</t>
    </r>
    <r>
      <rPr>
        <i/>
        <sz val="14"/>
        <rFont val="Helvetica"/>
        <family val="2"/>
      </rPr>
      <t xml:space="preserve"> som en del af deres arbejdstidsplan.</t>
    </r>
  </si>
  <si>
    <t>alle skoledage</t>
  </si>
  <si>
    <t>skolesøndage</t>
  </si>
  <si>
    <t>skolelørdage</t>
  </si>
  <si>
    <t>skolefredage</t>
  </si>
  <si>
    <t>skoletorsdage</t>
  </si>
  <si>
    <t>skoleonsdage</t>
  </si>
  <si>
    <t>skoletirsdage</t>
  </si>
  <si>
    <t>skolemandage</t>
  </si>
  <si>
    <t>I alt</t>
  </si>
  <si>
    <t>feriedage</t>
  </si>
  <si>
    <t>Pæd.dage</t>
  </si>
  <si>
    <t>Lejrskoledg./ekskursion</t>
  </si>
  <si>
    <t>fag/emnedage</t>
  </si>
  <si>
    <t>feriedag</t>
  </si>
  <si>
    <t>Skoledage</t>
  </si>
  <si>
    <t>pæd.dag</t>
  </si>
  <si>
    <t>Sommerferie</t>
  </si>
  <si>
    <t>ekskursion</t>
  </si>
  <si>
    <t>lejrskole</t>
  </si>
  <si>
    <t>emnedag</t>
  </si>
  <si>
    <t>fagdag</t>
  </si>
  <si>
    <t>skoledag</t>
  </si>
  <si>
    <t>2. Påskedag</t>
  </si>
  <si>
    <t>Overskriv øverste venstre felt (A1) med din skoles navn!</t>
  </si>
  <si>
    <t>Påskedag</t>
  </si>
  <si>
    <t>Vejledning:</t>
  </si>
  <si>
    <t>Aktiviteter</t>
  </si>
  <si>
    <t xml:space="preserve"> arbejdsdage</t>
  </si>
  <si>
    <t>Fagdage/emnedage i alt:</t>
  </si>
  <si>
    <t>Pæd. Dage i alt:</t>
  </si>
  <si>
    <t>Alm. skoledage i alt:</t>
  </si>
  <si>
    <t>Som udgangspunkt tilstræbes det at lande på 200 skoledage</t>
    <phoneticPr fontId="32" type="noConversion"/>
  </si>
  <si>
    <t>weekend</t>
  </si>
  <si>
    <t>SH-dag</t>
  </si>
  <si>
    <t>Weekend</t>
  </si>
  <si>
    <t>Lejrskole/ekskursionsdage i alt:</t>
  </si>
  <si>
    <r>
      <rPr>
        <b/>
        <u/>
        <sz val="12"/>
        <color theme="1"/>
        <rFont val="Calibri (Tekst)"/>
      </rPr>
      <t>I kolonne B</t>
    </r>
    <r>
      <rPr>
        <sz val="12"/>
        <color theme="1"/>
        <rFont val="Calibri"/>
        <family val="2"/>
        <scheme val="minor"/>
      </rPr>
      <t xml:space="preserve"> angives hvor mange arbejdstimer tidsrummet tæller med. Her skrives enten det </t>
    </r>
    <r>
      <rPr>
        <b/>
        <sz val="12"/>
        <color theme="1"/>
        <rFont val="Calibri"/>
        <family val="2"/>
        <scheme val="minor"/>
      </rPr>
      <t xml:space="preserve">FAKTISKE </t>
    </r>
    <r>
      <rPr>
        <sz val="12"/>
        <color theme="1"/>
        <rFont val="Calibri"/>
        <family val="2"/>
        <scheme val="minor"/>
      </rPr>
      <t xml:space="preserve">antal timer(Feks: 17-06 = 13 timer) eller de </t>
    </r>
    <r>
      <rPr>
        <b/>
        <sz val="12"/>
        <color theme="1"/>
        <rFont val="Calibri"/>
        <family val="2"/>
        <scheme val="minor"/>
      </rPr>
      <t>AFTALTE</t>
    </r>
    <r>
      <rPr>
        <sz val="12"/>
        <color theme="1"/>
        <rFont val="Calibri"/>
        <family val="2"/>
        <scheme val="minor"/>
      </rPr>
      <t xml:space="preserve"> antal timer(feks: 17-06 = 11 timer). Disse timer indregnes i årsnormen.</t>
    </r>
  </si>
  <si>
    <t>Benævnelse af arrangementet:</t>
  </si>
  <si>
    <r>
      <t>I kolonne B</t>
    </r>
    <r>
      <rPr>
        <sz val="12"/>
        <color rgb="FF000000"/>
        <rFont val="Calibri"/>
        <family val="2"/>
        <scheme val="minor"/>
      </rPr>
      <t xml:space="preserve"> angives hvor mange arbejdstimer tidsrummet tæller med. Her skrives enten det </t>
    </r>
    <r>
      <rPr>
        <b/>
        <sz val="12"/>
        <color rgb="FF000000"/>
        <rFont val="Calibri"/>
        <family val="2"/>
        <scheme val="minor"/>
      </rPr>
      <t xml:space="preserve">FAKTISKE </t>
    </r>
    <r>
      <rPr>
        <sz val="12"/>
        <color rgb="FF000000"/>
        <rFont val="Calibri"/>
        <family val="2"/>
        <scheme val="minor"/>
      </rPr>
      <t xml:space="preserve">antal timer(Feks: 1 døgn = 24) eller de </t>
    </r>
    <r>
      <rPr>
        <b/>
        <sz val="12"/>
        <color rgb="FF000000"/>
        <rFont val="Calibri"/>
        <family val="2"/>
        <scheme val="minor"/>
      </rPr>
      <t>AFTALTE</t>
    </r>
    <r>
      <rPr>
        <sz val="12"/>
        <color rgb="FF000000"/>
        <rFont val="Calibri"/>
        <family val="2"/>
        <scheme val="minor"/>
      </rPr>
      <t xml:space="preserve"> antal timer(feks: 1 døgn = 22 timer).  Antallet af arbejdstimer tidsrummet tæller med bruges til selve timeforbruget samt til udregning af weekendtillægget på 50%.                                     .</t>
    </r>
  </si>
  <si>
    <t>F</t>
  </si>
  <si>
    <r>
      <rPr>
        <b/>
        <sz val="12"/>
        <color theme="1"/>
        <rFont val="Calibri (Tekst)"/>
      </rPr>
      <t>WEEKEND-TILLÆG</t>
    </r>
    <r>
      <rPr>
        <sz val="12"/>
        <color theme="1"/>
        <rFont val="Calibri"/>
        <family val="2"/>
        <scheme val="minor"/>
      </rPr>
      <t xml:space="preserve"> </t>
    </r>
  </si>
  <si>
    <t>ULEMPE-TILLÆG</t>
  </si>
  <si>
    <t>Ulempetillægget på 25% afregnes ALTID af den faktiske antal arbejdstimer.</t>
  </si>
  <si>
    <t>G</t>
  </si>
  <si>
    <t>Hvis ikke der i den aftalte akkord er taget højde for weekendtillægget, vises weekend-tillægs-timerne her:</t>
  </si>
  <si>
    <t>Angiv hvor mange arbejdstimer tidsrummet tæller med. Enten det faktiske antal timer eller det aftalte antal timer.</t>
  </si>
  <si>
    <r>
      <rPr>
        <b/>
        <sz val="12"/>
        <color theme="1"/>
        <rFont val="Calibri"/>
        <family val="2"/>
        <scheme val="minor"/>
      </rPr>
      <t>Kolonne F: Arbejdstid samt weekendtillæg</t>
    </r>
    <r>
      <rPr>
        <sz val="12"/>
        <color theme="1"/>
        <rFont val="Calibri"/>
        <family val="2"/>
        <scheme val="minor"/>
      </rPr>
      <t>. Angiv her med et "x" om arbejdstiden samt evt. weekendtillæg afspadseres i indeværende normperiode eller udbetales.</t>
    </r>
  </si>
  <si>
    <r>
      <t xml:space="preserve">Herunder anføres lejrskoler og ekskursioner planlagt på hverdage, hvor timerne tæller væsentlig anderledes end en almindelig planlagt skoledag. Et lejrskoledøgn kan tælle for 22 timer pr.  døgn (med-mindre der er indgået en anden lokal aftale herom), samt evt. hjemrejsetimer.                                                         * </t>
    </r>
    <r>
      <rPr>
        <b/>
        <sz val="12"/>
        <color theme="1"/>
        <rFont val="Calibri"/>
        <family val="2"/>
        <scheme val="minor"/>
      </rPr>
      <t xml:space="preserve">I skema 5 oplyses de timer der ligger imellem 06:00 - 17:00.                                                                                                * I skema 6 oplyses timerne imellem kl. 17:00-06:00.                                                                                                                                           * Såfremt lejrskolen går ind i en weekend, oplyses weekendtimerne i rubrik 7. </t>
    </r>
  </si>
  <si>
    <t>Angiv med et "x", såfremt der via en aftalt akkord allerede er taget højde for weekend-tillægget på 50%.</t>
  </si>
  <si>
    <t>SUM(Lin. 1-14)</t>
  </si>
  <si>
    <t>Angiv hvor mange arbejdstimer tidsrummet tæller med. Evt. de aftalte antal timer.</t>
  </si>
  <si>
    <t>- Timeforbrug på lejrskoler og ekskursioner</t>
  </si>
  <si>
    <t>OBS: ET kryds ud for hvert arrangement</t>
  </si>
  <si>
    <t>Min egen skole</t>
  </si>
  <si>
    <t>Lokalaftalt tillæg</t>
  </si>
  <si>
    <t>Undervisningstillæg</t>
  </si>
  <si>
    <t>Nylønstillæg</t>
  </si>
  <si>
    <t>Søgne/helligdag</t>
  </si>
  <si>
    <t>Fastlagte fridage</t>
  </si>
  <si>
    <t>Feriedage, ma. - fr.</t>
  </si>
  <si>
    <t>Nul-dag</t>
  </si>
  <si>
    <t>Nytårsaftensdag</t>
  </si>
  <si>
    <t>Juleaftensdag</t>
  </si>
  <si>
    <t>Elevernes vinterferie</t>
  </si>
  <si>
    <t>Nul--dage</t>
  </si>
  <si>
    <t>KALENDERDAGE</t>
  </si>
  <si>
    <t>I skoleåret er der 9 søgnehelligdage. Disse dage er helligdage, der IKKE falder på en lørdag eller søndag. Al arbejde på Søgne/helligdage  skal så vidt muligt afspadseres i normperioden med et tillæg af 50%. Skal timerne udbetales skal dette være aftalt skriftligt med den enkelte. Timerne der udbetales er nettetimelønnen plus 50%. (Herudover udbetales et ulempetillæg for samme antal timer på 25%).</t>
  </si>
  <si>
    <t>SØGNE/HELLIGDAGE (I kalenderen angivet med pink)</t>
  </si>
  <si>
    <t>WEEKEND(I kalenderen angivet med gråt)</t>
  </si>
  <si>
    <t>FERIE(I kalenderen angivet med grønt)</t>
  </si>
  <si>
    <t>SKOLEDAGE (I kalenderen angivet med hvidt)</t>
  </si>
  <si>
    <t>ANDERLEDES SKOLEDAGE</t>
  </si>
  <si>
    <t>Fagdage(I kalenderen angivet med orange)</t>
  </si>
  <si>
    <t>Emnedage(I kalenderen angivet med lyserødt)</t>
  </si>
  <si>
    <t>Lejrskoledage(I kalenderen angivet med lyseblåt)</t>
  </si>
  <si>
    <t>Ekskursionsdage(I kalenderen angivet med gult)</t>
  </si>
  <si>
    <t>Ovennænvte gennemsnitlige 200 skoledage består af helt almindelige skoledage hvor der læses et almindeligt skoleskema samt evt følgende dage:</t>
  </si>
  <si>
    <t>PÆDAGOGISKE DAGE(I kalenderen angivet med lilla)</t>
  </si>
  <si>
    <t>0-DAGE/REST DAGE (I kalenderen angivet med blåt)</t>
  </si>
  <si>
    <t>Vejledning til:</t>
  </si>
  <si>
    <t>Feriedage</t>
  </si>
  <si>
    <t>Søgne/helligdage</t>
  </si>
  <si>
    <t>Fagdag</t>
  </si>
  <si>
    <t>Emendag</t>
  </si>
  <si>
    <t>Lejrskole</t>
  </si>
  <si>
    <t>Ekskursion</t>
  </si>
  <si>
    <t>Pæd.dag</t>
  </si>
  <si>
    <t>Skoledag</t>
  </si>
  <si>
    <t xml:space="preserve">FOR AT SAMMENTÆLLINGEN AF DAGENE BLIVER KORREKT, ER DET VIGTIGT AT DAGENE ER STAVET RIGTIGT. </t>
  </si>
  <si>
    <t>Ud for hver dag, kan er der mulighed for at skrive en tekst til dagen. Feks. 1. skoledag, juleafslutning, forældrearrangement, forældremøder mm. Teksten bliver automatisk kopieret over i kalenderværktøjet for 1. halvår og 2. halvår.</t>
  </si>
  <si>
    <t>DERFOR: Ved at stå i cellen der  benævner hvilken type dag vi har, kan man ved at trykke på pilen få valgmuligheder frem. VÆLG EN AF FØLGENDE MULIGE:</t>
  </si>
  <si>
    <t>Efterårsferie</t>
  </si>
  <si>
    <t>1. juledag</t>
  </si>
  <si>
    <t>Nytårsdag</t>
  </si>
  <si>
    <t/>
  </si>
  <si>
    <t xml:space="preserve">Grundlovsdag </t>
  </si>
  <si>
    <t>Weekenddage i alt:</t>
  </si>
  <si>
    <t>Søgne/helligdage i alt:</t>
  </si>
  <si>
    <t>Kalenderdage i alt</t>
  </si>
  <si>
    <t>Feriedage i  alt:</t>
  </si>
  <si>
    <t>Fag/emnedage i alt:</t>
  </si>
  <si>
    <t>Lejrskole/ekskursionsdg. i alt</t>
  </si>
  <si>
    <t>0-dage i alt:</t>
  </si>
  <si>
    <t>Antal arbejdsdage i alt:</t>
  </si>
  <si>
    <t>Antal Pædagogiske dage i alt:</t>
  </si>
  <si>
    <t>Skolemandage i alt:</t>
  </si>
  <si>
    <t>Skoletirsdage i alt:</t>
  </si>
  <si>
    <t>Skoleonsdage i alt:</t>
  </si>
  <si>
    <t>Skoletorsdage i alt:</t>
  </si>
  <si>
    <t>Skolefredage i alt:</t>
  </si>
  <si>
    <t>skolelørdage i alt:</t>
  </si>
  <si>
    <t>Skolesøndage i alt:</t>
  </si>
  <si>
    <r>
      <t>Oversigt over undervisningstimer</t>
    </r>
    <r>
      <rPr>
        <b/>
        <sz val="12"/>
        <color theme="1"/>
        <rFont val="Calibri"/>
        <family val="2"/>
        <scheme val="minor"/>
      </rPr>
      <t>(hele klokketimer)</t>
    </r>
    <r>
      <rPr>
        <sz val="12"/>
        <color theme="1"/>
        <rFont val="Calibri"/>
        <family val="2"/>
        <scheme val="minor"/>
      </rPr>
      <t xml:space="preserve"> på fagdage, emnedage eller lign. </t>
    </r>
  </si>
  <si>
    <t xml:space="preserve">OBS: Er normperioden for et helt skoleår, da danner dette timetal grundlag for beregning af undervisninstillæg. Er normperioden kun en del af et skoleår, skal man omregne delperiodens undervisningstimetal til en helt årsnorm. Dette gøres ved at tage de planlagte ugentlige undervisninslektioner ifølge skoleskema og gange op med antal skoleuger for perioden(Et helt skoleår kan være 40 skoleuger), dertil lægges undervisningstimerne vedr. fagdage/emnedage samt lejrskole plus evt. "ekstra undervisningstimer". </t>
  </si>
  <si>
    <r>
      <t xml:space="preserve">Angiv her de </t>
    </r>
    <r>
      <rPr>
        <u/>
        <sz val="12"/>
        <color theme="1"/>
        <rFont val="Calibri (Tekst)"/>
      </rPr>
      <t>faktiske</t>
    </r>
    <r>
      <rPr>
        <sz val="12"/>
        <color theme="1"/>
        <rFont val="Calibri"/>
        <family val="2"/>
        <scheme val="minor"/>
      </rPr>
      <t xml:space="preserve"> timer (13 timer for alt arbejdstid imellem kl. 17-06)</t>
    </r>
  </si>
  <si>
    <t>Ulempe-tillæg = 25% af time-forbruget. Timerne skal som hovedregl udbetales ved førstkommende lønudbetaling. Skal de afspadseres i normperioden kræver det en individuel skriftlig aftale.</t>
  </si>
  <si>
    <t>I skema 6 anføres den planlagte arbejdstid på HVERDAGE imellem kl. 17:00 - 06:00, grundlovsdag efter kl. 12:00 samt juleaftensdag efter kl. 14.</t>
  </si>
  <si>
    <t>I skema 7 anføres den planlagte arbejdstid i weekender fra lørdag kl. 00.00 til søndag kl. 24.00 samt på søgnehelligdage fra kl. 00.00 til kl. 24.00.</t>
  </si>
  <si>
    <r>
      <t xml:space="preserve">I Kolene E </t>
    </r>
    <r>
      <rPr>
        <sz val="12"/>
        <color rgb="FF000000"/>
        <rFont val="Calibri (Tekst)"/>
      </rPr>
      <t>angives der med et "x", hvis skolen har aftalt en akkord, og der i den aftalte akkord allerede er taget højde for weekendtillægget på 50%.</t>
    </r>
  </si>
  <si>
    <r>
      <t xml:space="preserve">I kolonne C </t>
    </r>
    <r>
      <rPr>
        <sz val="12"/>
        <color rgb="FF000000"/>
        <rFont val="Calibri"/>
        <family val="2"/>
        <scheme val="minor"/>
      </rPr>
      <t xml:space="preserve">angives </t>
    </r>
    <r>
      <rPr>
        <b/>
        <sz val="12"/>
        <color rgb="FF000000"/>
        <rFont val="Calibri"/>
        <family val="2"/>
        <scheme val="minor"/>
      </rPr>
      <t>ALTID de FAKTISKE</t>
    </r>
    <r>
      <rPr>
        <sz val="12"/>
        <color rgb="FF000000"/>
        <rFont val="Calibri"/>
        <family val="2"/>
        <scheme val="minor"/>
      </rPr>
      <t xml:space="preserve"> </t>
    </r>
    <r>
      <rPr>
        <b/>
        <sz val="12"/>
        <color rgb="FF000000"/>
        <rFont val="Calibri"/>
        <family val="2"/>
        <scheme val="minor"/>
      </rPr>
      <t>antal timer pr. døgn</t>
    </r>
    <r>
      <rPr>
        <sz val="12"/>
        <color rgb="FF000000"/>
        <rFont val="Calibri"/>
        <family val="2"/>
        <scheme val="minor"/>
      </rPr>
      <t>(feks. 1 døgn = 24 timer). De faktiske timer bruges til udregnig af ulempetillægget på 25% .</t>
    </r>
  </si>
  <si>
    <r>
      <t xml:space="preserve">I kolonne D </t>
    </r>
    <r>
      <rPr>
        <sz val="12"/>
        <color rgb="FF000000"/>
        <rFont val="Calibri (Tekst)"/>
      </rPr>
      <t>angives hvor mange hele dage der er tale om.</t>
    </r>
  </si>
  <si>
    <r>
      <t>I kolonne F og G</t>
    </r>
    <r>
      <rPr>
        <sz val="12"/>
        <color rgb="FF000000"/>
        <rFont val="Calibri (Tekst)"/>
      </rPr>
      <t xml:space="preserve"> oplyses der hvorvidt selve arbejdstiden og weekendtillæg(Kollonne F) samt ulempetillægget(Kolonne G) skal udmøntes.  LÆS OBS HERUNDER!</t>
    </r>
  </si>
  <si>
    <t>Oversigt over den faktiske arbejdstid. Den arbejdstid som er til rådighed på helt normale skoledage, fagdage/emnedage og lign.</t>
  </si>
  <si>
    <t>Antal dage med eleverne</t>
  </si>
  <si>
    <t>Arbejdstid - Arbejdstidsoversigt</t>
  </si>
  <si>
    <t>i tidsrummet 06:00-17:00</t>
  </si>
  <si>
    <r>
      <t xml:space="preserve">Antal timer pr. dag                   </t>
    </r>
    <r>
      <rPr>
        <sz val="10"/>
        <color theme="1"/>
        <rFont val="Calibri"/>
        <family val="2"/>
        <scheme val="minor"/>
      </rPr>
      <t>(8 timer = 8,00)</t>
    </r>
  </si>
  <si>
    <t>Pædagogiske dage er dage lærerne er på arbejde, men ikke underviser eleverne. Det kan være forberedelsesdage op til skolestart eller evalueringsdage efter eleverne har fået sommerferie. Pædagogiske dage kan også være dage hvor lærerne, børnehaveklasselederen og lederen planlægger det kommende skoleår eller evt. mødes om et pædagogiske emne. Disse dage kan såvel ligge på skoledage som i weekender.</t>
  </si>
  <si>
    <t>Angiv her med et "x" om ulempetillæget udbetales eller afspadseres. OBS: hvis timerne afspadseres skal der foreligge en skriftlig aftale mellem skolen og den enkelte lærer.</t>
  </si>
  <si>
    <r>
      <rPr>
        <b/>
        <sz val="12"/>
        <color theme="1"/>
        <rFont val="Calibri"/>
        <family val="2"/>
        <scheme val="minor"/>
      </rPr>
      <t>Kolonne G: Ulempetillægget</t>
    </r>
    <r>
      <rPr>
        <sz val="12"/>
        <color theme="1"/>
        <rFont val="Calibri"/>
        <family val="2"/>
        <scheme val="minor"/>
      </rPr>
      <t xml:space="preserve">.  Angiv her med et "x" om ulempetillæget udbetales eller afspadseres. OBS: hvis timerne afspadseres skal der foreligge en skriftlig aftale mellem skolen og den enkelte lærer. </t>
    </r>
  </si>
  <si>
    <r>
      <rPr>
        <b/>
        <sz val="12"/>
        <color rgb="FF000000"/>
        <rFont val="Calibri"/>
        <family val="2"/>
        <scheme val="minor"/>
      </rPr>
      <t>OBS KOLONNE G - ULEMPETILLÆG:</t>
    </r>
    <r>
      <rPr>
        <sz val="12"/>
        <color rgb="FF000000"/>
        <rFont val="Calibri"/>
        <family val="2"/>
        <scheme val="minor"/>
      </rPr>
      <t xml:space="preserve">  </t>
    </r>
    <r>
      <rPr>
        <b/>
        <sz val="12"/>
        <color rgb="FF000000"/>
        <rFont val="Calibri"/>
        <family val="2"/>
        <scheme val="minor"/>
      </rPr>
      <t xml:space="preserve">ULEMPETILLÆGGET ER SOM HOVEDREGL TIL UDBETALING, </t>
    </r>
    <r>
      <rPr>
        <sz val="12"/>
        <color rgb="FF000000"/>
        <rFont val="Calibri"/>
        <family val="2"/>
        <scheme val="minor"/>
      </rPr>
      <t xml:space="preserve"> men kan via en individuel skriftlig aftale aftales til afspadsering.</t>
    </r>
  </si>
  <si>
    <r>
      <t>Start med at udfylde kolonne A-E, og tag derefter stilling til</t>
    </r>
    <r>
      <rPr>
        <sz val="16"/>
        <color theme="1"/>
        <rFont val="Calibri (Tekst)"/>
      </rPr>
      <t xml:space="preserve"> i kolonne F og G hvordan selve arbejdstiden/weekendtillægget samt ulempetillæget skal udmøntes.</t>
    </r>
  </si>
  <si>
    <t>Kalenderne er tiltænkt til forældre, fødselsdagskalendere eller til andet brug. DOG IKKE TIL LÆRERNE!</t>
  </si>
  <si>
    <t>De sidste 3 faner er tomme kalendere. TOMT - ÅR, TOMT 1. halvår, TOMT 2. halvår</t>
  </si>
  <si>
    <t>nul-dag</t>
  </si>
  <si>
    <t>Palmesøndag</t>
  </si>
  <si>
    <t>2. pinsedag</t>
  </si>
  <si>
    <t>Ramme for arbejdstiden på helt alm. Skoledage, fagdage/emnedage:</t>
  </si>
  <si>
    <t>on</t>
  </si>
  <si>
    <t>lø</t>
  </si>
  <si>
    <t>ma</t>
  </si>
  <si>
    <t>to</t>
  </si>
  <si>
    <t>ti</t>
  </si>
  <si>
    <t>fr</t>
  </si>
  <si>
    <t>sø</t>
  </si>
  <si>
    <t>Ikke relevant</t>
  </si>
  <si>
    <t>Dage som ikke tælles m. I årsnormen</t>
  </si>
  <si>
    <t>I alt for normperioden</t>
  </si>
  <si>
    <t>Ikke relevante dage</t>
  </si>
  <si>
    <t>Feriedage i alt:</t>
  </si>
  <si>
    <t>Ikke relevante dage:</t>
  </si>
  <si>
    <t>Kalenderne er "tomme kalendere", uden formateringer, og her kan skolen overskrive og selv lægge ønskede farver på.</t>
  </si>
  <si>
    <t>IKKE RELEVANTE DAGE(I kalenderen angivet med sort)</t>
  </si>
  <si>
    <t>Ikke relevante dage er dage den ansatte ikke er ansat.</t>
  </si>
  <si>
    <t>Benævelse af dagen</t>
  </si>
  <si>
    <t>UDFYLDNING AF SKOLEÅRSKALENDER 2019/20</t>
  </si>
  <si>
    <t>2019/20</t>
  </si>
  <si>
    <t>Langfredag</t>
  </si>
  <si>
    <t>0. Dage i alt</t>
  </si>
  <si>
    <t>0. dage i alt:</t>
  </si>
  <si>
    <t>Timeforbruget afspadseres i normperioden.  Placeringen af timerne aftales med skolelederen</t>
  </si>
  <si>
    <t>ÅRSKALENDER  for  MIN EGEN SKOLE  2019 - 20</t>
  </si>
  <si>
    <t>Timer til afspadsering</t>
  </si>
  <si>
    <t>Arbejdstimer i weekender + weekendtillæg på 50% samt ulempetillæg aftalt som afspadsering(Oplyst i skema 6 og 7).</t>
  </si>
  <si>
    <t>Afspadseringstimer(fra skema 6 og 7)</t>
  </si>
  <si>
    <t>Placeres afspadseringstimerne på ikke arbejdsdage tæller timerne pr. dag med 7,4 timer * den ansattes beskæftigelsesgrad.</t>
  </si>
  <si>
    <t xml:space="preserve">Afspadseres timerne på planlagte undervisningsdage kan timeforbruget pr. dag aflæses i skema 9. </t>
  </si>
  <si>
    <t>Rest timer til afspadsering som ikke er kalenderlagt, og som aftales imellem den ansatte og skolens ledelse.</t>
  </si>
  <si>
    <r>
      <t xml:space="preserve">Afspadsering. HUSK INDIVIDUEL SKRIFTLIG AFTALE. </t>
    </r>
    <r>
      <rPr>
        <b/>
        <sz val="11"/>
        <color theme="1"/>
        <rFont val="Calibri (Tekst)"/>
      </rPr>
      <t>Timerne videreføres til skema 8.</t>
    </r>
  </si>
  <si>
    <r>
      <rPr>
        <b/>
        <u/>
        <sz val="12"/>
        <color theme="1"/>
        <rFont val="Calibri (Tekst)"/>
      </rPr>
      <t xml:space="preserve">I kolonne C </t>
    </r>
    <r>
      <rPr>
        <sz val="12"/>
        <color theme="1"/>
        <rFont val="Calibri"/>
        <family val="2"/>
        <scheme val="minor"/>
      </rPr>
      <t xml:space="preserve">angives </t>
    </r>
    <r>
      <rPr>
        <b/>
        <sz val="12"/>
        <color theme="1"/>
        <rFont val="Calibri"/>
        <family val="2"/>
        <scheme val="minor"/>
      </rPr>
      <t>ALTID de FAKTISKE</t>
    </r>
    <r>
      <rPr>
        <sz val="12"/>
        <color theme="1"/>
        <rFont val="Calibri"/>
        <family val="2"/>
        <scheme val="minor"/>
      </rPr>
      <t xml:space="preserve"> antal timer(feks.17-06 = 13 timer). De faktiske timer bruges til udregnig af ulempetillægget på 25% af nettotimelønnen.</t>
    </r>
    <r>
      <rPr>
        <b/>
        <sz val="12"/>
        <color theme="1"/>
        <rFont val="Calibri"/>
        <family val="2"/>
        <scheme val="minor"/>
      </rPr>
      <t xml:space="preserve"> ULEMPETILLÆGGET ER SOM UDGANGSPUNKT TIL UDBETALING</t>
    </r>
    <r>
      <rPr>
        <sz val="12"/>
        <color theme="1"/>
        <rFont val="Calibri"/>
        <family val="2"/>
        <scheme val="minor"/>
      </rPr>
      <t>, men kan med en individuel  skriftlig aftale aftales til afspadsering.</t>
    </r>
  </si>
  <si>
    <r>
      <rPr>
        <b/>
        <sz val="12"/>
        <color rgb="FF000000"/>
        <rFont val="Calibri"/>
        <family val="2"/>
        <scheme val="minor"/>
      </rPr>
      <t>OBS KOLONNE F - WEEKENDTIMER SAMT TIMER PÅ SØGNEHELLIGDAGE:</t>
    </r>
    <r>
      <rPr>
        <sz val="12"/>
        <color rgb="FF000000"/>
        <rFont val="Calibri"/>
        <family val="2"/>
        <scheme val="minor"/>
      </rPr>
      <t xml:space="preserve"> Lærernes arbejdstid er som hovedregl fra mandag til fredag. Derfor anses arbejde i weekender samt på søgnehelligdage som overarbejde. </t>
    </r>
    <r>
      <rPr>
        <b/>
        <sz val="12"/>
        <color rgb="FF000000"/>
        <rFont val="Calibri"/>
        <family val="2"/>
        <scheme val="minor"/>
      </rPr>
      <t xml:space="preserve">OVERARBEJDE SKAL SÅ VIDT MULIGT AFSPADSERES I I INDEVÆRENDE NORMPERIODE, HVORFOR DETTE ER HOVEDREGLEN. Timerne skal så vidt muligt afvikles som hele eller halve dage. I skema 8 er det muligt at placere afspadseringstimerne på kalenderdage. Placeres de ikke på kalenderdage, skal timerne aftales til afspadsering imellem den ansatte og skolens ledelse. </t>
    </r>
    <r>
      <rPr>
        <sz val="12"/>
        <color rgb="FF000000"/>
        <rFont val="Calibri"/>
        <family val="2"/>
        <scheme val="minor"/>
      </rPr>
      <t xml:space="preserve">Aftales der i stedet at weekendtillægget(selve timeforbruget + 50%) skal udbetales kan det kun ske, hvis der foreligger en individuel skriftlig aftale herom. Dette redegøres der for under kolonne F. </t>
    </r>
  </si>
  <si>
    <t>- Arbejdstid fra 17-06(indregnes i normperioden)</t>
  </si>
  <si>
    <r>
      <t xml:space="preserve">Timer til afspadsering. </t>
    </r>
    <r>
      <rPr>
        <b/>
        <sz val="11"/>
        <color theme="1"/>
        <rFont val="Calibri"/>
        <family val="2"/>
        <scheme val="minor"/>
      </rPr>
      <t>Timerne videreføres til skema 8.</t>
    </r>
  </si>
  <si>
    <r>
      <t>OK18-tillæg</t>
    </r>
    <r>
      <rPr>
        <i/>
        <sz val="10"/>
        <color theme="1"/>
        <rFont val="Calibri"/>
        <family val="2"/>
        <scheme val="minor"/>
      </rPr>
      <t xml:space="preserve"> (udbetales fra 1. oktober 2018 til alle lærere og bhkl.ledere)</t>
    </r>
  </si>
  <si>
    <t>Soucheftillæg</t>
  </si>
  <si>
    <t>Pr. time (Lin. 17 * 12 / 1924)</t>
  </si>
  <si>
    <t>De 366 kalanderdage kan i et skoleår  opdeles i følgende dage:</t>
  </si>
  <si>
    <t>Pga. indførslen af den nye ferielov er der i skoleåret 2019/20 ikke 25 feriedage, men kun 21,64(21) feriedage. For de skoler der følger organisationsaftalen vedr. ferie, ligger der i august 2019 5 feriedage(Optjent i optjeningsåret 2018). De resterende 16,64(16) dage der optjenes i det forkortede ferieår d. 1. januar 2019 - 31. august 2019 afvikles i juli 2020. Ferie skal afvikles i hele dage, men skolen har mulighed for at lave individuelle aftaler med sit personale om, at der i dette særlige tilfælde afvikles brøkdele(0,64) mod at de resterende timer op til en hel dag planlægges med "nul-dage"/afspadseringstimer, således at den ansatte får fri i hele dage. Friskolernes Hus anbefaler at skolen indgår sådanne individuelle aftaler med personalet, således at alt ferie optjent i det forkortede ferieår - de 16,64 dage, er afviklet før den nye ferielov træder i kraft d. 1. september 2020. Da organisationsaftalen skriver at de sidste 20 hverdage i juli mdr. er ferie og de første 5 hverdage i august er ferie, er det vigtigt at skolen senest udgangen af marts mdr. 2020 varsler denne ændring af ferien.</t>
  </si>
  <si>
    <r>
      <t xml:space="preserve">I skoleåret er der 104 weekenddage. Dagene fordeles på 52 lørdage og 52 søndage.  </t>
    </r>
    <r>
      <rPr>
        <b/>
        <sz val="12"/>
        <rFont val="Arial"/>
        <family val="2"/>
      </rPr>
      <t>Dagene er fridage.</t>
    </r>
    <r>
      <rPr>
        <sz val="12"/>
        <rFont val="Arial"/>
        <family val="2"/>
      </rPr>
      <t xml:space="preserve">  Al arbejde i weekender skal så vidt muligt afspadseres i normperioden med et tillæg af 50%. Skal timerne udbetales skal dette være aftalt skriftligt med den enkelte. Timerne der aftales til udbetaling, udbetales ud fra den enkeltes nettotimeløn plus 50%. (Herudover udbetales et ulempetillæg på 25% for samme antal timer).   </t>
    </r>
  </si>
  <si>
    <t>Ansættes en lærer først d. 1. oktober, skal alle dage i august og september vælges som "ikke relevante dage". På denne måde får skolen korrekt optælling af normperiodens dage, som nu ikke længere er et helt skoleår.</t>
  </si>
  <si>
    <t>Det samme hvis en lærer slutter før skoleåret slutter. Da vælgers de dage læreren ikke er ansat, og normperioden vil være nemmere at tælle op.</t>
  </si>
  <si>
    <t>Det totale antal dage fratrukket  ferie, lørdage, søndage, søgne/helligdage, samt 200 skoledage udgør: (366 kalenderdage - 104 lør/søn - 9 S/H-dage - 21,64(21) feriedage- 200 skoledage = 31,36 restdage. Disse 31,36 dage er i princippet arbejdsdage. Hvis der ikke disponeres over disse dage(Planlægges arbejdstid), vil de blive betragtet som afspadseringsdage - også kaldet 0-dage.</t>
  </si>
  <si>
    <t>Reglerne omkring de særlige feriedage ændres ikke som følge af den nye ferielov. De særlige feriedage optjenes stadig i et kalenderår og afvikles i det kommende ferieår. Har man som ansat under statens ferieaftale været ansat hele optjeningsåret(2018), har man derfor ret til at afvikle 5 særlige feriedage til afvikling i ferieåret efter(1. maj 2019 - 30. april 2020). Den enkelte lærer kan selv bestemme, på hvilke af de i forvejen planlagte arbejdsdage man ønsker at afholde sine særlige feriedage, dog skal det være foreneligt med tjenesten. Har den ansatte ikke afviklet eller planlagt de særlige feriedage ved årsskiftet d. 1. januar, har ledelsen retten til at planlægge dagene med 30 dages varsel, således de er afviklet når ferieåret slutter d. 30. april. Særlige feriedage der ikke er afviklet d. 30. april, skal udbetales eller aftales(skriftligt) til overførsel til det kommende ferieår.</t>
  </si>
  <si>
    <t xml:space="preserve">En fuldtidslærer der efter fradrag af lørdage, søndage, søgnehelligdage samt  21,64(21) feriedage har tilbage 231,36(232) mulige arbejdsdage i skoleåret 2019/20. Er læreren fuldtidsansat skal læreren arbejde 7,4 timer pr. dag hvilket giver en nettoarbejdstid på 1.712,06 timer(1.716,80 timer).  Arbejder læreren ikke på alle de mulige arbejdsdage, betyder det at arbejdstiden på de fastsatte arbejdsdage bliver længere end de 7,4 timer. Da alle arbejdsdage sjældent er ens på skolen(undervisningsdage, emneuger, lejrskoler, pædagogiske dage), kan det være svært at redegør for, hvor mange timer læreren skal arbejde på helt almindelig skoledage, fagdage og emnedage. Derfor har vi udarbejdet værktøjet "arbejdstidsoversigt", som redegør for alle lærerens arbejdsdage, og også viser hvor mange timer en lærer skal arbejde på helt almindelige skoledage, fagdage og emnedage for at arbejdstiden stemmer med beskæftigelsesgraden.  </t>
  </si>
  <si>
    <t>Arbejdsfriedage/afspadseringsdage, ma. - fr.</t>
  </si>
  <si>
    <t>Arbejdsdage med mødepligt iflg. skema</t>
  </si>
  <si>
    <t>Arbejdsdage med mødepligt uden uv.</t>
  </si>
  <si>
    <r>
      <rPr>
        <b/>
        <sz val="12"/>
        <rFont val="Arial"/>
        <family val="2"/>
      </rPr>
      <t xml:space="preserve">SAMMENTÆLLING AF DE FORSKELLIGE DAGE: </t>
    </r>
    <r>
      <rPr>
        <sz val="12"/>
        <rFont val="Arial"/>
        <family val="2"/>
      </rPr>
      <t>Under hver mdr. og slut året tæller kalenderen automatisk dagene sammen. Både antal skoledage, weekenddage, pædagogiske dage osv. MEN også antal skolemandage, skoletirsdage, skoleonsdage, skoletorsdage og skolefredage pr. mdr. Denne sammentælling bruges særligt til arbejdstidsoversigten, hvor I skal tælle antal skolemandage, tirsdage osv. Sammentællingen for året, er et godt værktøj til hvordan skolen har planlagt året, og hvor mange dage der går i alt til feks. pædagogiske dage, skoledage, feriedage osv.</t>
    </r>
  </si>
  <si>
    <t>OBS: 0,64 feriedag og 0,36 "nul-dag"</t>
  </si>
  <si>
    <r>
      <rPr>
        <u/>
        <sz val="12"/>
        <rFont val="Arial"/>
        <family val="2"/>
      </rPr>
      <t>Bemærk</t>
    </r>
    <r>
      <rPr>
        <sz val="12"/>
        <rFont val="Arial"/>
        <family val="2"/>
      </rPr>
      <t xml:space="preserve"> at tallene i parentes, er hvis skolen "kun" planlægger hele dage - altså 16 feriedage i juli 2020. Friskolernes Hus anbefaler som tidligere nævnt at skolens ledelse udarbejder individuelle aftaler med de ansatte om at der afvikles 16,64 feriedage i juli 2020, og at der op til 17 hele fridage planlægges med 0,36 "nul-dage"/afspadseringsdage. </t>
    </r>
  </si>
  <si>
    <t>$$</t>
  </si>
  <si>
    <t>Disse timer  skal  afspadseres så vidt muligt i hele eller halve dage. Angiv herunder på hvilke i forvejen planlagte arbejdsdage afspadseringstimerne afvikles på. Fastlægges timerne ikke på i forvejen planlagte arbejdsdage skal timerne afspadseres ifølge aftale mellem den ansatte og skolens ledelse. (På dage, hvor den ansatte skulle være mødt på arbejde)</t>
  </si>
  <si>
    <r>
      <rPr>
        <b/>
        <sz val="14"/>
        <rFont val="Arial"/>
        <family val="2"/>
      </rPr>
      <t>Månedskalenderen er et master-ark</t>
    </r>
    <r>
      <rPr>
        <sz val="12"/>
        <rFont val="Arial"/>
        <family val="2"/>
      </rPr>
      <t xml:space="preserve">. Master-arket er udfyldt med en mængde formler der automatisk beregner dato, ugedage og ugenumre (på mandage). Weekend samt søgne/helligdage er sat i kalenderen. Derudover har vi i denne udgavet fulgt organisationsaftalens regler omkring ferie, og i forvejen valgt at de første 5 hverdage i august er feriedage og de sidste 16,64 dage i juli er feriedage. De 16,64 dage fyldes op med afspadseringstimer, således den ansatte har fri i 17 hele dage i juli 2020. I arket har vi markeret 16 dage som feriedage og den 17ende dag som nuldag. HUSK - at hvis skolen følger dette, kræver det individuelle aftaler med den ansatte herom. I selve arbejdstidsoversigten skal skolen i dette tilfælde oplyse 16,64 feriedage. Har skolen udmeldt en anden ferieplan, tilrettes kalenderen.(Husk varslingsfristen af omlægning af ferie, skal ske senest udgangen af marts mdr. før ferien afholdes). I dette masterark, har vi valgt at lægge nogle nul-dage ind(Dette på dage før skolestart, uge 42, dage i julen/nytår, uge 7 samt påskeugen plus dage i juli. Såfremt dette ikke er nul-dage på den pågældende skole, ændres disse dage til feks. pædagogiske dage eller andet. </t>
    </r>
    <r>
      <rPr>
        <b/>
        <sz val="12"/>
        <rFont val="Arial"/>
        <family val="2"/>
      </rPr>
      <t>BEMÆRK AT KALENDEREN KUN  ER ET OPLÆG TIL SKOLENS KALENDER, OG SKAL TILRETTES DEN ENKELTE SKOLE.</t>
    </r>
  </si>
  <si>
    <t>Kr. himmelfartsdag</t>
  </si>
  <si>
    <t>St. Bededag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</si>
</sst>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k_r_-;\-* #,##0.00\ _k_r_-;_-* &quot;-&quot;??\ _k_r_-;_-@_-"/>
    <numFmt numFmtId="165" formatCode="0.0000"/>
    <numFmt numFmtId="166" formatCode="hh:mm;@"/>
    <numFmt numFmtId="167" formatCode="mm"/>
    <numFmt numFmtId="168" formatCode="_-* #,##0_-;\-* #,##0_-;_-* &quot;-&quot;_-;_-@_-"/>
    <numFmt numFmtId="169" formatCode="_-* #,##0.00_-;\-* #,##0.00_-;_-* &quot;-&quot;??_-;_-@_-"/>
    <numFmt numFmtId="170" formatCode="_-&quot;kr.&quot;* #,##0_-;\-&quot;kr.&quot;* #,##0_-;_-&quot;kr.&quot;* &quot;-&quot;_-;_-@_-"/>
    <numFmt numFmtId="171" formatCode="_-&quot;kr.&quot;* #,##0.00_-;\-&quot;kr.&quot;* #,##0.00_-;_-&quot;kr.&quot;* &quot;-&quot;??_-;_-@_-"/>
    <numFmt numFmtId="172" formatCode="#,##0.0"/>
    <numFmt numFmtId="173" formatCode="#,##0.0000"/>
    <numFmt numFmtId="174" formatCode="#,##0.00&quot;kr.&quot;;\-#,##0.00&quot;kr.&quot;"/>
    <numFmt numFmtId="175" formatCode="0.0%"/>
    <numFmt numFmtId="176" formatCode="000\-000"/>
    <numFmt numFmtId="177" formatCode="dd:mm:yyyy;@"/>
    <numFmt numFmtId="178" formatCode=";;;"/>
  </numFmts>
  <fonts count="103">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1"/>
      <color theme="1"/>
      <name val="Calibri"/>
      <family val="2"/>
      <scheme val="minor"/>
    </font>
    <font>
      <b/>
      <i/>
      <sz val="18"/>
      <color theme="1"/>
      <name val="Calibri"/>
      <family val="2"/>
      <scheme val="minor"/>
    </font>
    <font>
      <sz val="22"/>
      <color theme="1"/>
      <name val="Calibri"/>
      <family val="2"/>
      <scheme val="minor"/>
    </font>
    <font>
      <sz val="10"/>
      <color theme="1"/>
      <name val="Calibri"/>
      <family val="2"/>
      <scheme val="minor"/>
    </font>
    <font>
      <sz val="12"/>
      <color rgb="FF000000"/>
      <name val="Calibri"/>
      <family val="2"/>
      <scheme val="minor"/>
    </font>
    <font>
      <sz val="24"/>
      <color theme="1"/>
      <name val="Calibri"/>
      <family val="2"/>
      <scheme val="minor"/>
    </font>
    <font>
      <b/>
      <sz val="20"/>
      <color theme="1"/>
      <name val="Calibri"/>
      <family val="2"/>
      <scheme val="minor"/>
    </font>
    <font>
      <b/>
      <sz val="14"/>
      <color theme="1"/>
      <name val="Calibri"/>
      <family val="2"/>
      <scheme val="minor"/>
    </font>
    <font>
      <sz val="12"/>
      <color theme="0"/>
      <name val="Calibri"/>
      <family val="2"/>
      <scheme val="minor"/>
    </font>
    <font>
      <sz val="12"/>
      <color rgb="FFFF0000"/>
      <name val="Calibri"/>
      <family val="2"/>
      <scheme val="minor"/>
    </font>
    <font>
      <b/>
      <i/>
      <sz val="12"/>
      <color rgb="FFFF0000"/>
      <name val="Calibri"/>
      <family val="2"/>
      <scheme val="minor"/>
    </font>
    <font>
      <sz val="10"/>
      <color theme="1"/>
      <name val="Calibri"/>
      <family val="2"/>
    </font>
    <font>
      <sz val="20"/>
      <name val="Calibri"/>
      <family val="2"/>
      <scheme val="minor"/>
    </font>
    <font>
      <b/>
      <sz val="18"/>
      <color theme="1"/>
      <name val="Calibri"/>
      <family val="2"/>
      <scheme val="minor"/>
    </font>
    <font>
      <i/>
      <sz val="12"/>
      <color theme="1"/>
      <name val="Calibri"/>
      <family val="2"/>
      <scheme val="minor"/>
    </font>
    <font>
      <b/>
      <sz val="10"/>
      <color theme="1"/>
      <name val="Calibri"/>
      <family val="2"/>
      <scheme val="minor"/>
    </font>
    <font>
      <sz val="11"/>
      <color rgb="FF000000"/>
      <name val="Calibri"/>
      <family val="2"/>
      <scheme val="minor"/>
    </font>
    <font>
      <i/>
      <sz val="10"/>
      <color theme="1"/>
      <name val="Calibri"/>
      <family val="2"/>
      <scheme val="minor"/>
    </font>
    <font>
      <sz val="10"/>
      <name val="Arial"/>
      <family val="2"/>
    </font>
    <font>
      <b/>
      <sz val="24"/>
      <name val="Arial"/>
      <family val="2"/>
    </font>
    <font>
      <sz val="12"/>
      <name val="Helvetica"/>
      <family val="2"/>
    </font>
    <font>
      <sz val="16"/>
      <name val="Helvetica"/>
      <family val="2"/>
    </font>
    <font>
      <b/>
      <sz val="14"/>
      <name val="Helvetica"/>
      <family val="2"/>
    </font>
    <font>
      <b/>
      <sz val="16"/>
      <name val="Helvetica"/>
      <family val="2"/>
    </font>
    <font>
      <sz val="9"/>
      <name val="Helvetica"/>
      <family val="2"/>
    </font>
    <font>
      <sz val="36"/>
      <name val="Helvetica"/>
      <family val="2"/>
    </font>
    <font>
      <b/>
      <sz val="18"/>
      <name val="Helvetica"/>
      <family val="2"/>
    </font>
    <font>
      <sz val="18"/>
      <name val="Helvetica"/>
      <family val="2"/>
    </font>
    <font>
      <sz val="8"/>
      <name val="Arial"/>
      <family val="2"/>
    </font>
    <font>
      <i/>
      <sz val="9"/>
      <name val="Helvetica"/>
      <family val="2"/>
    </font>
    <font>
      <i/>
      <sz val="10"/>
      <name val="Arial"/>
      <family val="2"/>
    </font>
    <font>
      <i/>
      <sz val="8"/>
      <name val="Arial"/>
      <family val="2"/>
    </font>
    <font>
      <sz val="14"/>
      <name val="Helvetica"/>
      <family val="2"/>
    </font>
    <font>
      <sz val="12"/>
      <name val="Arial"/>
      <family val="2"/>
    </font>
    <font>
      <sz val="12"/>
      <name val="Chicago"/>
    </font>
    <font>
      <sz val="10"/>
      <name val="Courier"/>
      <family val="1"/>
    </font>
    <font>
      <u/>
      <sz val="10"/>
      <color indexed="36"/>
      <name val="Arial"/>
      <family val="2"/>
    </font>
    <font>
      <sz val="10"/>
      <name val="Helvetica"/>
      <family val="2"/>
    </font>
    <font>
      <sz val="12"/>
      <color rgb="FFFFFFFF"/>
      <name val="Calibri"/>
      <family val="2"/>
      <scheme val="minor"/>
    </font>
    <font>
      <sz val="24"/>
      <color theme="1"/>
      <name val="Calibri"/>
      <family val="2"/>
      <scheme val="minor"/>
    </font>
    <font>
      <b/>
      <sz val="18"/>
      <color theme="1"/>
      <name val="Calibri"/>
      <family val="2"/>
      <scheme val="minor"/>
    </font>
    <font>
      <sz val="12"/>
      <name val="Calibri"/>
      <family val="2"/>
      <scheme val="minor"/>
    </font>
    <font>
      <b/>
      <sz val="10"/>
      <name val="Arial"/>
      <family val="2"/>
    </font>
    <font>
      <b/>
      <sz val="12"/>
      <name val="Arial"/>
      <family val="2"/>
    </font>
    <font>
      <b/>
      <sz val="12"/>
      <name val="Helvetica"/>
      <family val="2"/>
    </font>
    <font>
      <sz val="12"/>
      <color indexed="10"/>
      <name val="Arial"/>
      <family val="2"/>
    </font>
    <font>
      <i/>
      <sz val="14"/>
      <name val="Helvetica"/>
      <family val="2"/>
    </font>
    <font>
      <b/>
      <i/>
      <sz val="14"/>
      <name val="Helvetica"/>
      <family val="2"/>
    </font>
    <font>
      <sz val="8"/>
      <name val="Helvetica"/>
      <family val="2"/>
    </font>
    <font>
      <sz val="9"/>
      <name val="Arial"/>
      <family val="2"/>
    </font>
    <font>
      <sz val="10"/>
      <color indexed="12"/>
      <name val="Arial"/>
      <family val="2"/>
    </font>
    <font>
      <b/>
      <sz val="10"/>
      <name val="Helvetica"/>
      <family val="2"/>
    </font>
    <font>
      <sz val="11"/>
      <name val="Arial"/>
      <family val="2"/>
    </font>
    <font>
      <sz val="14"/>
      <name val="Arial"/>
      <family val="2"/>
    </font>
    <font>
      <b/>
      <sz val="14"/>
      <name val="Arial"/>
      <family val="2"/>
    </font>
    <font>
      <sz val="24"/>
      <name val="Arial"/>
      <family val="2"/>
    </font>
    <font>
      <i/>
      <sz val="16"/>
      <name val="Helvetica"/>
      <family val="2"/>
    </font>
    <font>
      <i/>
      <sz val="16"/>
      <color theme="1"/>
      <name val="Helvetica"/>
      <family val="2"/>
    </font>
    <font>
      <i/>
      <sz val="20"/>
      <name val="Helvetica"/>
      <family val="2"/>
    </font>
    <font>
      <i/>
      <sz val="9"/>
      <color theme="0"/>
      <name val="Helvetica"/>
      <family val="2"/>
    </font>
    <font>
      <b/>
      <u/>
      <sz val="12"/>
      <color theme="1"/>
      <name val="Calibri (Tekst)"/>
    </font>
    <font>
      <b/>
      <sz val="12"/>
      <color rgb="FF000000"/>
      <name val="Calibri"/>
      <family val="2"/>
      <scheme val="minor"/>
    </font>
    <font>
      <b/>
      <u/>
      <sz val="12"/>
      <color rgb="FF000000"/>
      <name val="Calibri (Tekst)"/>
    </font>
    <font>
      <b/>
      <sz val="12"/>
      <color theme="1"/>
      <name val="Calibri (Tekst)"/>
    </font>
    <font>
      <sz val="12"/>
      <color rgb="FF000000"/>
      <name val="Calibri (Tekst)"/>
    </font>
    <font>
      <i/>
      <sz val="12"/>
      <color rgb="FF000000"/>
      <name val="Calibri"/>
      <family val="2"/>
      <scheme val="minor"/>
    </font>
    <font>
      <sz val="10"/>
      <color rgb="FFFF0000"/>
      <name val="Calibri"/>
      <family val="2"/>
      <scheme val="minor"/>
    </font>
    <font>
      <b/>
      <sz val="10"/>
      <color rgb="FFFF0000"/>
      <name val="Calibri"/>
      <family val="2"/>
      <scheme val="minor"/>
    </font>
    <font>
      <sz val="10"/>
      <color theme="1"/>
      <name val="Arial"/>
      <family val="2"/>
    </font>
    <font>
      <b/>
      <sz val="16"/>
      <color indexed="10"/>
      <name val="Arial"/>
      <family val="2"/>
    </font>
    <font>
      <sz val="12"/>
      <color theme="1"/>
      <name val="Arial"/>
      <family val="2"/>
    </font>
    <font>
      <b/>
      <sz val="12"/>
      <color theme="1"/>
      <name val="Arial"/>
      <family val="2"/>
    </font>
    <font>
      <sz val="12"/>
      <color theme="0"/>
      <name val="Helvetica"/>
      <family val="2"/>
    </font>
    <font>
      <b/>
      <sz val="18"/>
      <color theme="1"/>
      <name val="Helvetica"/>
      <family val="2"/>
    </font>
    <font>
      <sz val="10"/>
      <color theme="0"/>
      <name val="Arial"/>
      <family val="2"/>
    </font>
    <font>
      <b/>
      <sz val="14"/>
      <color indexed="10"/>
      <name val="Helvetica"/>
      <family val="2"/>
    </font>
    <font>
      <sz val="14"/>
      <color rgb="FFFF0000"/>
      <name val="Arial"/>
      <family val="2"/>
    </font>
    <font>
      <b/>
      <sz val="10"/>
      <color theme="0"/>
      <name val="Arial"/>
      <family val="2"/>
    </font>
    <font>
      <i/>
      <sz val="14"/>
      <color theme="1"/>
      <name val="Helvetica"/>
      <family val="2"/>
    </font>
    <font>
      <i/>
      <sz val="14"/>
      <color theme="0"/>
      <name val="Helvetica"/>
      <family val="2"/>
    </font>
    <font>
      <sz val="12"/>
      <color theme="0"/>
      <name val="Arial"/>
      <family val="2"/>
    </font>
    <font>
      <i/>
      <sz val="20"/>
      <color theme="1"/>
      <name val="Helvetica"/>
      <family val="2"/>
    </font>
    <font>
      <u/>
      <sz val="12"/>
      <color theme="1"/>
      <name val="Calibri (Tekst)"/>
    </font>
    <font>
      <sz val="16"/>
      <color theme="1"/>
      <name val="Calibri (Tekst)"/>
    </font>
    <font>
      <b/>
      <sz val="16"/>
      <color theme="1"/>
      <name val="Arial"/>
      <family val="2"/>
    </font>
    <font>
      <i/>
      <sz val="14"/>
      <color rgb="FF000000"/>
      <name val="Helvetica"/>
      <family val="2"/>
    </font>
    <font>
      <i/>
      <sz val="14"/>
      <color rgb="FFFFFFFF"/>
      <name val="Helvetica"/>
      <family val="2"/>
    </font>
    <font>
      <sz val="14"/>
      <color theme="1"/>
      <name val="Calibri"/>
      <family val="2"/>
      <scheme val="minor"/>
    </font>
    <font>
      <b/>
      <sz val="11"/>
      <color theme="1"/>
      <name val="Calibri (Tekst)"/>
    </font>
    <font>
      <b/>
      <sz val="11"/>
      <color theme="1"/>
      <name val="Calibri"/>
      <family val="2"/>
      <scheme val="minor"/>
    </font>
    <font>
      <b/>
      <sz val="12"/>
      <color theme="0"/>
      <name val="Arial"/>
      <family val="2"/>
    </font>
    <font>
      <u/>
      <sz val="12"/>
      <name val="Arial"/>
      <family val="2"/>
    </font>
    <font>
      <i/>
      <sz val="8"/>
      <name val="Helvetica"/>
      <family val="2"/>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EFB4B"/>
        <bgColor indexed="64"/>
      </patternFill>
    </fill>
    <fill>
      <patternFill patternType="solid">
        <fgColor rgb="FFFFFF00"/>
        <bgColor rgb="FF000000"/>
      </patternFill>
    </fill>
    <fill>
      <patternFill patternType="solid">
        <fgColor theme="0"/>
        <bgColor rgb="FF000000"/>
      </patternFill>
    </fill>
    <fill>
      <patternFill patternType="solid">
        <fgColor theme="8" tint="0.79998168889431442"/>
        <bgColor indexed="64"/>
      </patternFill>
    </fill>
    <fill>
      <patternFill patternType="solid">
        <fgColor theme="0" tint="-0.249977111117893"/>
        <bgColor indexed="64"/>
      </patternFill>
    </fill>
    <fill>
      <patternFill patternType="gray125">
        <bgColor theme="0" tint="-0.14999847407452621"/>
      </patternFill>
    </fill>
    <fill>
      <patternFill patternType="gray125">
        <bgColor theme="0" tint="-4.9989318521683403E-2"/>
      </patternFill>
    </fill>
    <fill>
      <patternFill patternType="solid">
        <fgColor indexed="42"/>
        <bgColor indexed="64"/>
      </patternFill>
    </fill>
    <fill>
      <patternFill patternType="gray0625"/>
    </fill>
    <fill>
      <patternFill patternType="lightGray"/>
    </fill>
    <fill>
      <patternFill patternType="solid">
        <fgColor rgb="FFFFFFFF"/>
        <bgColor rgb="FF000000"/>
      </patternFill>
    </fill>
    <fill>
      <patternFill patternType="solid">
        <fgColor theme="0" tint="-0.14996795556505021"/>
        <bgColor indexed="64"/>
      </patternFill>
    </fill>
    <fill>
      <patternFill patternType="gray125">
        <bgColor theme="0"/>
      </patternFill>
    </fill>
    <fill>
      <patternFill patternType="solid">
        <fgColor indexed="9"/>
        <bgColor indexed="64"/>
      </patternFill>
    </fill>
    <fill>
      <patternFill patternType="solid">
        <fgColor rgb="FFD9D9D9"/>
        <bgColor rgb="FF000000"/>
      </patternFill>
    </fill>
    <fill>
      <patternFill patternType="solid">
        <fgColor rgb="FFFF2F8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1"/>
        <bgColor indexed="64"/>
      </patternFill>
    </fill>
    <fill>
      <patternFill patternType="solid">
        <fgColor theme="0" tint="-0.14999847407452621"/>
        <bgColor rgb="FF000000"/>
      </patternFill>
    </fill>
    <fill>
      <patternFill patternType="solid">
        <fgColor rgb="FFFF2F82"/>
        <bgColor rgb="FF000000"/>
      </patternFill>
    </fill>
    <fill>
      <patternFill patternType="solid">
        <fgColor auto="1"/>
        <bgColor indexed="64"/>
      </patternFill>
    </fill>
    <fill>
      <patternFill patternType="solid">
        <fgColor theme="1"/>
        <bgColor rgb="FF000000"/>
      </patternFill>
    </fill>
    <fill>
      <patternFill patternType="solid">
        <fgColor rgb="FFC4D79B"/>
        <bgColor rgb="FF000000"/>
      </patternFill>
    </fill>
    <fill>
      <patternFill patternType="solid">
        <fgColor rgb="FF000000"/>
        <bgColor rgb="FF000000"/>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top style="thin">
        <color auto="1"/>
      </top>
      <bottom/>
      <diagonal/>
    </border>
    <border>
      <left style="medium">
        <color auto="1"/>
      </left>
      <right/>
      <top style="medium">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right/>
      <top/>
      <bottom style="thin">
        <color auto="1"/>
      </bottom>
      <diagonal/>
    </border>
    <border>
      <left/>
      <right style="thin">
        <color auto="1"/>
      </right>
      <top style="medium">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bottom/>
      <diagonal/>
    </border>
    <border>
      <left style="thin">
        <color auto="1"/>
      </left>
      <right/>
      <top/>
      <bottom style="thin">
        <color auto="1"/>
      </bottom>
      <diagonal/>
    </border>
    <border>
      <left style="thin">
        <color auto="1"/>
      </left>
      <right style="thin">
        <color auto="1"/>
      </right>
      <top/>
      <bottom/>
      <diagonal/>
    </border>
    <border>
      <left style="medium">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thin">
        <color auto="1"/>
      </right>
      <top/>
      <bottom/>
      <diagonal/>
    </border>
    <border>
      <left/>
      <right style="thin">
        <color rgb="FF000000"/>
      </right>
      <top style="thin">
        <color auto="1"/>
      </top>
      <bottom style="thin">
        <color auto="1"/>
      </bottom>
      <diagonal/>
    </border>
    <border>
      <left/>
      <right style="thin">
        <color auto="1"/>
      </right>
      <top/>
      <bottom style="hair">
        <color auto="1"/>
      </bottom>
      <diagonal/>
    </border>
    <border>
      <left/>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hair">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thin">
        <color auto="1"/>
      </bottom>
      <diagonal/>
    </border>
    <border>
      <left style="thin">
        <color auto="1"/>
      </left>
      <right style="medium">
        <color auto="1"/>
      </right>
      <top/>
      <bottom/>
      <diagonal/>
    </border>
    <border>
      <left style="thin">
        <color auto="1"/>
      </left>
      <right style="medium">
        <color auto="1"/>
      </right>
      <top style="thin">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style="medium">
        <color auto="1"/>
      </right>
      <top/>
      <bottom/>
      <diagonal/>
    </border>
  </borders>
  <cellStyleXfs count="53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8" fillId="0" borderId="0"/>
    <xf numFmtId="0" fontId="30" fillId="0" borderId="0"/>
    <xf numFmtId="0" fontId="34" fillId="0" borderId="0"/>
    <xf numFmtId="0" fontId="30" fillId="0" borderId="0" applyNumberFormat="0" applyFill="0" applyBorder="0" applyAlignment="0" applyProtection="0"/>
    <xf numFmtId="0" fontId="42" fillId="0" borderId="0" applyNumberFormat="0" applyFill="0" applyBorder="0" applyAlignment="0" applyProtection="0"/>
    <xf numFmtId="0" fontId="34" fillId="0" borderId="0" applyNumberFormat="0" applyFill="0" applyBorder="0" applyAlignment="0" applyProtection="0"/>
    <xf numFmtId="0" fontId="44" fillId="0" borderId="58" applyNumberFormat="0" applyFill="0" applyBorder="0" applyProtection="0">
      <alignment horizontal="center"/>
    </xf>
    <xf numFmtId="168" fontId="30" fillId="0" borderId="0" applyFont="0" applyFill="0" applyBorder="0" applyAlignment="0" applyProtection="0"/>
    <xf numFmtId="169" fontId="30" fillId="0" borderId="0" applyFont="0" applyFill="0" applyBorder="0" applyAlignment="0" applyProtection="0"/>
    <xf numFmtId="3" fontId="45" fillId="15" borderId="38" applyFill="0" applyBorder="0" applyAlignment="0">
      <alignment horizontal="center"/>
    </xf>
    <xf numFmtId="170" fontId="30" fillId="0" borderId="0" applyFont="0" applyFill="0" applyBorder="0" applyAlignment="0" applyProtection="0"/>
    <xf numFmtId="171" fontId="30" fillId="0" borderId="0" applyFont="0" applyFill="0" applyBorder="0" applyAlignment="0" applyProtection="0"/>
    <xf numFmtId="0" fontId="46" fillId="0" borderId="0" applyNumberFormat="0" applyFill="0" applyBorder="0" applyAlignment="0" applyProtection="0">
      <alignment vertical="top"/>
      <protection locked="0"/>
    </xf>
    <xf numFmtId="3" fontId="47" fillId="0" borderId="0" applyFont="0" applyFill="0" applyBorder="0" applyAlignment="0" applyProtection="0"/>
    <xf numFmtId="172" fontId="47" fillId="0" borderId="0" applyFont="0" applyFill="0" applyBorder="0" applyAlignment="0" applyProtection="0"/>
    <xf numFmtId="4" fontId="47" fillId="0" borderId="0" applyFont="0" applyFill="0" applyBorder="0" applyAlignment="0" applyProtection="0"/>
    <xf numFmtId="173" fontId="47" fillId="0" borderId="0" applyFont="0" applyFill="0" applyBorder="0" applyAlignment="0" applyProtection="0"/>
    <xf numFmtId="174" fontId="47" fillId="0" borderId="0" applyFont="0" applyFill="0" applyBorder="0" applyAlignment="0" applyProtection="0"/>
    <xf numFmtId="9" fontId="47" fillId="0" borderId="0" applyFont="0" applyFill="0" applyBorder="0" applyAlignment="0" applyProtection="0"/>
    <xf numFmtId="175" fontId="47" fillId="0" borderId="0" applyFont="0" applyFill="0" applyBorder="0" applyAlignment="0" applyProtection="0"/>
    <xf numFmtId="10" fontId="47" fillId="0" borderId="0" applyFont="0" applyFill="0" applyBorder="0" applyAlignment="0" applyProtection="0"/>
    <xf numFmtId="176" fontId="47" fillId="0" borderId="0" applyFont="0" applyFill="0" applyBorder="0" applyProtection="0">
      <alignment horizontal="center"/>
    </xf>
    <xf numFmtId="0" fontId="28" fillId="16" borderId="0" applyNumberFormat="0" applyFon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3"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149">
    <xf numFmtId="0" fontId="0" fillId="0" borderId="0" xfId="0"/>
    <xf numFmtId="2" fontId="0" fillId="0" borderId="0" xfId="0" applyNumberFormat="1"/>
    <xf numFmtId="0" fontId="0" fillId="4" borderId="1" xfId="0" applyFill="1" applyBorder="1"/>
    <xf numFmtId="0" fontId="0" fillId="0" borderId="0" xfId="0" applyAlignment="1">
      <alignment horizontal="left"/>
    </xf>
    <xf numFmtId="0" fontId="0" fillId="3" borderId="1" xfId="0" applyFill="1" applyBorder="1" applyProtection="1">
      <protection locked="0"/>
    </xf>
    <xf numFmtId="4" fontId="0" fillId="5" borderId="1" xfId="0" applyNumberFormat="1" applyFill="1" applyBorder="1"/>
    <xf numFmtId="4" fontId="0" fillId="3" borderId="1" xfId="0" applyNumberFormat="1" applyFill="1" applyBorder="1" applyProtection="1">
      <protection locked="0"/>
    </xf>
    <xf numFmtId="0" fontId="0" fillId="0" borderId="0" xfId="0" applyBorder="1" applyAlignment="1">
      <alignment horizontal="left" wrapText="1"/>
    </xf>
    <xf numFmtId="0" fontId="0" fillId="2" borderId="0" xfId="0" applyFill="1" applyBorder="1"/>
    <xf numFmtId="4" fontId="0" fillId="2" borderId="0" xfId="0" applyNumberFormat="1" applyFill="1" applyBorder="1"/>
    <xf numFmtId="0" fontId="0" fillId="2" borderId="0" xfId="0" applyFill="1" applyBorder="1" applyAlignment="1">
      <alignment horizontal="left" wrapText="1"/>
    </xf>
    <xf numFmtId="0" fontId="8" fillId="0" borderId="0" xfId="0" applyFont="1"/>
    <xf numFmtId="0" fontId="9" fillId="0" borderId="0" xfId="0" applyFont="1"/>
    <xf numFmtId="0" fontId="0" fillId="2" borderId="0" xfId="0" applyFill="1" applyBorder="1" applyAlignment="1" applyProtection="1">
      <alignment horizontal="left"/>
    </xf>
    <xf numFmtId="0" fontId="7" fillId="5" borderId="23" xfId="0" applyFont="1" applyFill="1" applyBorder="1"/>
    <xf numFmtId="0" fontId="7" fillId="5" borderId="24" xfId="0" applyFont="1" applyFill="1" applyBorder="1"/>
    <xf numFmtId="0" fontId="7" fillId="5" borderId="25" xfId="0" applyFont="1" applyFill="1" applyBorder="1"/>
    <xf numFmtId="0" fontId="7" fillId="4" borderId="20" xfId="0" applyFont="1" applyFill="1" applyBorder="1"/>
    <xf numFmtId="0" fontId="0" fillId="4" borderId="21" xfId="0" applyFont="1" applyFill="1" applyBorder="1"/>
    <xf numFmtId="0" fontId="0" fillId="4" borderId="22" xfId="0" applyFont="1" applyFill="1" applyBorder="1"/>
    <xf numFmtId="0" fontId="12" fillId="2" borderId="0" xfId="0" applyFont="1" applyFill="1" applyBorder="1" applyAlignment="1">
      <alignment horizontal="center" vertical="center"/>
    </xf>
    <xf numFmtId="0" fontId="0" fillId="2" borderId="26" xfId="0" applyFill="1" applyBorder="1" applyProtection="1">
      <protection locked="0"/>
    </xf>
    <xf numFmtId="0" fontId="0" fillId="2" borderId="12" xfId="0" applyFill="1" applyBorder="1" applyProtection="1">
      <protection locked="0"/>
    </xf>
    <xf numFmtId="0" fontId="0" fillId="2" borderId="9" xfId="0" applyFill="1" applyBorder="1" applyProtection="1">
      <protection locked="0"/>
    </xf>
    <xf numFmtId="0" fontId="0" fillId="2" borderId="1" xfId="0" applyFill="1" applyBorder="1" applyProtection="1">
      <protection locked="0"/>
    </xf>
    <xf numFmtId="0" fontId="0" fillId="2" borderId="18" xfId="0" applyFill="1" applyBorder="1" applyProtection="1">
      <protection locked="0"/>
    </xf>
    <xf numFmtId="0" fontId="0" fillId="2" borderId="14" xfId="0" applyFill="1" applyBorder="1" applyProtection="1">
      <protection locked="0"/>
    </xf>
    <xf numFmtId="0" fontId="0" fillId="2" borderId="15" xfId="0" applyFill="1" applyBorder="1" applyProtection="1">
      <protection locked="0"/>
    </xf>
    <xf numFmtId="0" fontId="0" fillId="2" borderId="16" xfId="0" applyFill="1" applyBorder="1" applyProtection="1">
      <protection locked="0"/>
    </xf>
    <xf numFmtId="0" fontId="0" fillId="2" borderId="17" xfId="0" applyFill="1" applyBorder="1" applyProtection="1">
      <protection locked="0"/>
    </xf>
    <xf numFmtId="0" fontId="0" fillId="2" borderId="30" xfId="0" applyFill="1" applyBorder="1" applyProtection="1">
      <protection locked="0"/>
    </xf>
    <xf numFmtId="0" fontId="12" fillId="0" borderId="33" xfId="0" applyFont="1" applyBorder="1" applyAlignment="1">
      <alignment horizontal="center" vertical="center"/>
    </xf>
    <xf numFmtId="0" fontId="0" fillId="0" borderId="0" xfId="0" applyBorder="1" applyAlignment="1">
      <alignment horizontal="left" vertical="top" wrapText="1"/>
    </xf>
    <xf numFmtId="0" fontId="0" fillId="5" borderId="1" xfId="0" applyFill="1" applyBorder="1" applyAlignment="1">
      <alignment horizontal="center"/>
    </xf>
    <xf numFmtId="0" fontId="0" fillId="5" borderId="1" xfId="0" applyFill="1" applyBorder="1" applyAlignment="1">
      <alignment horizontal="center"/>
    </xf>
    <xf numFmtId="0" fontId="12" fillId="0" borderId="0" xfId="0" applyFont="1" applyBorder="1" applyAlignment="1">
      <alignment horizontal="center" vertical="center"/>
    </xf>
    <xf numFmtId="0" fontId="0" fillId="5" borderId="1" xfId="0" applyFill="1" applyBorder="1" applyAlignment="1"/>
    <xf numFmtId="0" fontId="0" fillId="4" borderId="1" xfId="0" applyFill="1" applyBorder="1" applyAlignment="1"/>
    <xf numFmtId="0" fontId="0" fillId="3" borderId="1" xfId="0" applyFill="1" applyBorder="1" applyAlignment="1" applyProtection="1">
      <protection locked="0"/>
    </xf>
    <xf numFmtId="4" fontId="0" fillId="3" borderId="1" xfId="0" applyNumberFormat="1" applyFill="1" applyBorder="1" applyAlignment="1" applyProtection="1">
      <alignment horizontal="center"/>
      <protection locked="0"/>
    </xf>
    <xf numFmtId="0" fontId="12" fillId="2" borderId="0" xfId="0" applyFont="1" applyFill="1" applyBorder="1" applyAlignment="1">
      <alignment horizontal="center" vertical="center" textRotation="90"/>
    </xf>
    <xf numFmtId="2" fontId="0" fillId="5" borderId="1" xfId="0" applyNumberFormat="1" applyFill="1" applyBorder="1" applyAlignment="1">
      <alignment horizontal="center" wrapText="1"/>
    </xf>
    <xf numFmtId="2" fontId="0" fillId="5" borderId="1" xfId="0" applyNumberFormat="1" applyFill="1" applyBorder="1" applyAlignment="1">
      <alignment horizontal="center"/>
    </xf>
    <xf numFmtId="0" fontId="0" fillId="7" borderId="1" xfId="0" applyFill="1" applyBorder="1" applyAlignment="1">
      <alignment horizontal="center"/>
    </xf>
    <xf numFmtId="0" fontId="0" fillId="7" borderId="1" xfId="0" applyFill="1" applyBorder="1"/>
    <xf numFmtId="2" fontId="0" fillId="7" borderId="1" xfId="0" applyNumberFormat="1" applyFill="1" applyBorder="1" applyAlignment="1">
      <alignment horizontal="center"/>
    </xf>
    <xf numFmtId="0" fontId="0" fillId="5" borderId="1" xfId="0" applyFont="1" applyFill="1" applyBorder="1" applyAlignment="1">
      <alignment horizontal="center" vertical="center"/>
    </xf>
    <xf numFmtId="0" fontId="0" fillId="2" borderId="0" xfId="0" applyFill="1" applyBorder="1" applyAlignment="1"/>
    <xf numFmtId="2" fontId="0" fillId="2" borderId="0" xfId="0" applyNumberFormat="1" applyFill="1" applyBorder="1" applyAlignment="1">
      <alignment horizontal="center"/>
    </xf>
    <xf numFmtId="2" fontId="0" fillId="5" borderId="1" xfId="0" applyNumberFormat="1" applyFill="1" applyBorder="1" applyAlignment="1">
      <alignment horizontal="center"/>
    </xf>
    <xf numFmtId="0" fontId="0" fillId="4" borderId="1" xfId="0" applyFill="1" applyBorder="1" applyAlignment="1">
      <alignment horizontal="center"/>
    </xf>
    <xf numFmtId="2" fontId="0" fillId="2" borderId="0" xfId="0" applyNumberFormat="1" applyFill="1" applyBorder="1" applyAlignment="1"/>
    <xf numFmtId="4" fontId="0" fillId="5" borderId="1" xfId="0" applyNumberFormat="1" applyFill="1" applyBorder="1" applyAlignment="1"/>
    <xf numFmtId="49" fontId="0" fillId="5" borderId="1" xfId="0" applyNumberFormat="1" applyFill="1" applyBorder="1" applyAlignment="1">
      <alignment horizontal="center"/>
    </xf>
    <xf numFmtId="0" fontId="12" fillId="2" borderId="27" xfId="0" applyFont="1" applyFill="1" applyBorder="1" applyAlignment="1">
      <alignment horizontal="center" vertical="center" textRotation="90"/>
    </xf>
    <xf numFmtId="2" fontId="0" fillId="5" borderId="1" xfId="0" applyNumberFormat="1" applyFill="1" applyBorder="1" applyAlignment="1">
      <alignment horizontal="center" wrapText="1"/>
    </xf>
    <xf numFmtId="0" fontId="0" fillId="5" borderId="1" xfId="0" applyNumberFormat="1" applyFill="1" applyBorder="1" applyAlignment="1">
      <alignment horizontal="center" wrapText="1"/>
    </xf>
    <xf numFmtId="1" fontId="0" fillId="5" borderId="1" xfId="0" applyNumberFormat="1" applyFill="1" applyBorder="1" applyAlignment="1">
      <alignment wrapText="1"/>
    </xf>
    <xf numFmtId="2" fontId="0" fillId="5" borderId="1" xfId="0" applyNumberFormat="1" applyFill="1" applyBorder="1" applyAlignment="1">
      <alignment horizontal="center" vertical="center"/>
    </xf>
    <xf numFmtId="0" fontId="0" fillId="3" borderId="1" xfId="0" applyFill="1" applyBorder="1" applyAlignment="1" applyProtection="1">
      <alignment horizontal="left"/>
      <protection locked="0"/>
    </xf>
    <xf numFmtId="2" fontId="0" fillId="5" borderId="1" xfId="0" applyNumberFormat="1" applyFill="1" applyBorder="1" applyAlignment="1">
      <alignment horizontal="right" wrapText="1"/>
    </xf>
    <xf numFmtId="49" fontId="0" fillId="2" borderId="0" xfId="0" applyNumberFormat="1" applyFill="1" applyBorder="1" applyAlignment="1">
      <alignment horizontal="left" wrapText="1"/>
    </xf>
    <xf numFmtId="4" fontId="0" fillId="2" borderId="0" xfId="0" applyNumberFormat="1" applyFill="1" applyBorder="1" applyAlignment="1">
      <alignment horizontal="right"/>
    </xf>
    <xf numFmtId="2" fontId="0" fillId="2" borderId="35" xfId="0" applyNumberFormat="1" applyFill="1" applyBorder="1" applyAlignment="1">
      <alignment horizontal="center"/>
    </xf>
    <xf numFmtId="166" fontId="0" fillId="5" borderId="1" xfId="0" applyNumberFormat="1" applyFill="1" applyBorder="1" applyAlignment="1">
      <alignment horizontal="center"/>
    </xf>
    <xf numFmtId="166" fontId="0" fillId="4" borderId="1" xfId="0" applyNumberFormat="1" applyFill="1" applyBorder="1" applyAlignment="1">
      <alignment horizontal="center"/>
    </xf>
    <xf numFmtId="0" fontId="0" fillId="4" borderId="1" xfId="0" applyFont="1" applyFill="1" applyBorder="1" applyAlignment="1">
      <alignment horizontal="center" vertical="center"/>
    </xf>
    <xf numFmtId="2" fontId="0" fillId="5" borderId="14" xfId="0" applyNumberFormat="1" applyFill="1" applyBorder="1" applyAlignment="1">
      <alignment horizontal="center"/>
    </xf>
    <xf numFmtId="0" fontId="0" fillId="2" borderId="45" xfId="0" applyFill="1" applyBorder="1" applyAlignment="1">
      <alignment horizontal="left"/>
    </xf>
    <xf numFmtId="0" fontId="14" fillId="9" borderId="45" xfId="0" applyFont="1" applyFill="1" applyBorder="1" applyAlignment="1">
      <alignment horizontal="left"/>
    </xf>
    <xf numFmtId="4" fontId="14" fillId="9" borderId="45" xfId="0" applyNumberFormat="1" applyFont="1" applyFill="1" applyBorder="1" applyAlignment="1"/>
    <xf numFmtId="0" fontId="0" fillId="5" borderId="1" xfId="0" applyFont="1" applyFill="1" applyBorder="1" applyAlignment="1">
      <alignment horizontal="center"/>
    </xf>
    <xf numFmtId="3" fontId="0" fillId="5" borderId="1" xfId="0" applyNumberFormat="1" applyFont="1" applyFill="1" applyBorder="1" applyAlignment="1">
      <alignment horizontal="center"/>
    </xf>
    <xf numFmtId="49" fontId="0" fillId="4" borderId="31" xfId="0" applyNumberFormat="1" applyFont="1" applyFill="1" applyBorder="1" applyAlignment="1"/>
    <xf numFmtId="1" fontId="0" fillId="3" borderId="1" xfId="0" applyNumberFormat="1" applyFill="1" applyBorder="1" applyAlignment="1" applyProtection="1">
      <alignment horizontal="center"/>
      <protection locked="0"/>
    </xf>
    <xf numFmtId="2" fontId="0" fillId="3" borderId="1" xfId="0" applyNumberFormat="1" applyFill="1" applyBorder="1" applyAlignment="1" applyProtection="1">
      <alignment horizontal="center"/>
      <protection locked="0"/>
    </xf>
    <xf numFmtId="4" fontId="0" fillId="3" borderId="1" xfId="0" applyNumberFormat="1" applyFill="1" applyBorder="1" applyAlignment="1" applyProtection="1">
      <protection locked="0"/>
    </xf>
    <xf numFmtId="49" fontId="0" fillId="3" borderId="1" xfId="0" applyNumberFormat="1" applyFill="1" applyBorder="1" applyAlignment="1" applyProtection="1">
      <alignment horizontal="center"/>
      <protection locked="0"/>
    </xf>
    <xf numFmtId="2" fontId="0" fillId="3" borderId="1" xfId="0" applyNumberFormat="1" applyFill="1" applyBorder="1" applyAlignment="1" applyProtection="1">
      <alignment horizontal="right" wrapText="1"/>
      <protection locked="0"/>
    </xf>
    <xf numFmtId="166" fontId="0" fillId="3" borderId="1" xfId="0" applyNumberFormat="1" applyFill="1" applyBorder="1" applyAlignment="1" applyProtection="1">
      <alignment horizontal="center" wrapText="1"/>
      <protection locked="0"/>
    </xf>
    <xf numFmtId="166" fontId="0" fillId="3" borderId="1" xfId="0" applyNumberFormat="1" applyFill="1" applyBorder="1" applyAlignment="1" applyProtection="1">
      <alignment horizontal="center"/>
      <protection locked="0"/>
    </xf>
    <xf numFmtId="0" fontId="18" fillId="0" borderId="0" xfId="0" applyFont="1"/>
    <xf numFmtId="0" fontId="0" fillId="5" borderId="1" xfId="0" applyFill="1" applyBorder="1" applyAlignment="1">
      <alignment horizontal="center"/>
    </xf>
    <xf numFmtId="2" fontId="0" fillId="5" borderId="1" xfId="0" applyNumberFormat="1" applyFill="1" applyBorder="1" applyAlignment="1">
      <alignment horizontal="center"/>
    </xf>
    <xf numFmtId="2" fontId="0" fillId="5" borderId="1" xfId="0" applyNumberFormat="1" applyFill="1" applyBorder="1" applyAlignment="1">
      <alignment horizontal="center" wrapText="1"/>
    </xf>
    <xf numFmtId="4" fontId="0" fillId="5" borderId="1" xfId="0" applyNumberFormat="1" applyFill="1" applyBorder="1" applyAlignment="1" applyProtection="1">
      <alignment wrapText="1"/>
    </xf>
    <xf numFmtId="0" fontId="0" fillId="5" borderId="1" xfId="0" applyFill="1" applyBorder="1" applyAlignment="1" applyProtection="1">
      <alignment wrapText="1"/>
    </xf>
    <xf numFmtId="2" fontId="0" fillId="5" borderId="1" xfId="0" applyNumberFormat="1" applyFill="1" applyBorder="1" applyAlignment="1" applyProtection="1">
      <alignment horizontal="center"/>
      <protection locked="0"/>
    </xf>
    <xf numFmtId="49" fontId="0" fillId="5" borderId="1" xfId="0" applyNumberFormat="1" applyFill="1" applyBorder="1" applyAlignment="1">
      <alignment horizontal="center" wrapText="1"/>
    </xf>
    <xf numFmtId="49" fontId="0" fillId="2" borderId="4" xfId="0" applyNumberFormat="1" applyFill="1" applyBorder="1" applyAlignment="1">
      <alignment horizontal="left" wrapText="1"/>
    </xf>
    <xf numFmtId="49" fontId="0" fillId="2" borderId="5" xfId="0" applyNumberFormat="1" applyFill="1" applyBorder="1" applyAlignment="1">
      <alignment horizontal="left" wrapText="1"/>
    </xf>
    <xf numFmtId="49" fontId="0" fillId="2" borderId="6" xfId="0" applyNumberFormat="1" applyFill="1" applyBorder="1" applyAlignment="1">
      <alignment horizontal="left" wrapText="1"/>
    </xf>
    <xf numFmtId="0" fontId="10" fillId="5" borderId="4" xfId="0" applyNumberFormat="1" applyFont="1" applyFill="1" applyBorder="1" applyAlignment="1">
      <alignment horizontal="center" wrapText="1"/>
    </xf>
    <xf numFmtId="2" fontId="0" fillId="5" borderId="4" xfId="0" applyNumberFormat="1" applyFill="1" applyBorder="1" applyAlignment="1">
      <alignment horizontal="right"/>
    </xf>
    <xf numFmtId="0" fontId="0" fillId="5" borderId="9" xfId="0" applyFill="1" applyBorder="1" applyAlignment="1">
      <alignment horizontal="center" vertical="center" wrapText="1"/>
    </xf>
    <xf numFmtId="166" fontId="0" fillId="5" borderId="14" xfId="0" applyNumberFormat="1" applyFill="1" applyBorder="1"/>
    <xf numFmtId="166" fontId="0" fillId="5" borderId="17" xfId="0" applyNumberFormat="1" applyFill="1" applyBorder="1"/>
    <xf numFmtId="0" fontId="18" fillId="2" borderId="0" xfId="0" applyFont="1" applyFill="1"/>
    <xf numFmtId="0" fontId="0" fillId="5" borderId="1" xfId="0" applyNumberFormat="1" applyFill="1" applyBorder="1" applyAlignment="1">
      <alignment horizontal="left"/>
    </xf>
    <xf numFmtId="49" fontId="0" fillId="5" borderId="1" xfId="0" applyNumberFormat="1" applyFill="1" applyBorder="1" applyAlignment="1">
      <alignment horizontal="left"/>
    </xf>
    <xf numFmtId="0" fontId="0" fillId="5" borderId="14" xfId="0" applyNumberFormat="1" applyFill="1" applyBorder="1" applyAlignment="1">
      <alignment horizontal="left"/>
    </xf>
    <xf numFmtId="0" fontId="0" fillId="3" borderId="1" xfId="0" applyNumberFormat="1" applyFill="1" applyBorder="1" applyAlignment="1" applyProtection="1">
      <alignment horizontal="left"/>
      <protection locked="0"/>
    </xf>
    <xf numFmtId="0" fontId="0" fillId="3" borderId="14" xfId="0" applyNumberFormat="1" applyFill="1" applyBorder="1" applyAlignment="1" applyProtection="1">
      <alignment horizontal="left"/>
      <protection locked="0"/>
    </xf>
    <xf numFmtId="166" fontId="0" fillId="3" borderId="9" xfId="0" applyNumberFormat="1" applyFill="1" applyBorder="1" applyProtection="1">
      <protection locked="0"/>
    </xf>
    <xf numFmtId="0" fontId="0" fillId="4" borderId="1" xfId="0" applyFill="1" applyBorder="1" applyAlignment="1">
      <alignment horizontal="center" vertical="center" wrapText="1"/>
    </xf>
    <xf numFmtId="0" fontId="0" fillId="4" borderId="1" xfId="0" applyFont="1" applyFill="1" applyBorder="1" applyAlignment="1">
      <alignment horizontal="center" vertical="center" wrapText="1"/>
    </xf>
    <xf numFmtId="165" fontId="0" fillId="3" borderId="1" xfId="0" applyNumberFormat="1" applyFill="1" applyBorder="1" applyAlignment="1" applyProtection="1">
      <alignment horizontal="center"/>
      <protection locked="0"/>
    </xf>
    <xf numFmtId="0" fontId="0" fillId="4" borderId="1" xfId="0" applyFill="1" applyBorder="1" applyAlignment="1" applyProtection="1">
      <alignment horizontal="center"/>
    </xf>
    <xf numFmtId="2" fontId="0" fillId="5" borderId="1" xfId="0" applyNumberFormat="1" applyFont="1" applyFill="1" applyBorder="1" applyAlignment="1" applyProtection="1">
      <alignment horizontal="center"/>
      <protection locked="0"/>
    </xf>
    <xf numFmtId="2" fontId="14" fillId="8" borderId="19" xfId="0" applyNumberFormat="1" applyFont="1" applyFill="1" applyBorder="1" applyAlignment="1" applyProtection="1">
      <alignment horizontal="center"/>
      <protection locked="0"/>
    </xf>
    <xf numFmtId="2" fontId="0" fillId="5" borderId="1" xfId="0" applyNumberFormat="1" applyFont="1" applyFill="1" applyBorder="1" applyAlignment="1">
      <alignment horizontal="center" vertical="center"/>
    </xf>
    <xf numFmtId="4" fontId="0" fillId="4" borderId="1" xfId="0" applyNumberFormat="1" applyFill="1" applyBorder="1" applyAlignment="1">
      <alignment horizontal="center"/>
    </xf>
    <xf numFmtId="0" fontId="0" fillId="4" borderId="1" xfId="0" applyFill="1" applyBorder="1" applyAlignment="1">
      <alignment horizontal="center" vertical="center"/>
    </xf>
    <xf numFmtId="0" fontId="17" fillId="0" borderId="0" xfId="0" applyFont="1"/>
    <xf numFmtId="0" fontId="17" fillId="3" borderId="27" xfId="0" applyFont="1" applyFill="1" applyBorder="1" applyProtection="1">
      <protection locked="0"/>
    </xf>
    <xf numFmtId="0" fontId="0" fillId="0" borderId="48" xfId="0" applyBorder="1"/>
    <xf numFmtId="0" fontId="0" fillId="0" borderId="0" xfId="0" applyAlignment="1">
      <alignment horizontal="center"/>
    </xf>
    <xf numFmtId="0" fontId="7" fillId="0" borderId="0" xfId="0" applyFont="1"/>
    <xf numFmtId="0" fontId="0" fillId="0" borderId="49" xfId="0" applyBorder="1" applyAlignment="1">
      <alignment horizontal="center"/>
    </xf>
    <xf numFmtId="0" fontId="0" fillId="0" borderId="49" xfId="0" applyBorder="1"/>
    <xf numFmtId="164" fontId="0" fillId="3" borderId="1" xfId="343" applyFont="1" applyFill="1" applyBorder="1" applyProtection="1">
      <protection locked="0"/>
    </xf>
    <xf numFmtId="0" fontId="0" fillId="0" borderId="50" xfId="0" applyBorder="1" applyAlignment="1">
      <alignment horizontal="center"/>
    </xf>
    <xf numFmtId="0" fontId="0" fillId="0" borderId="50" xfId="0" applyBorder="1"/>
    <xf numFmtId="0" fontId="0" fillId="0" borderId="51" xfId="0" applyBorder="1"/>
    <xf numFmtId="0" fontId="7" fillId="0" borderId="5" xfId="0" applyFont="1" applyBorder="1"/>
    <xf numFmtId="164" fontId="7" fillId="0" borderId="1" xfId="343" applyFont="1" applyBorder="1"/>
    <xf numFmtId="164" fontId="0" fillId="0" borderId="1" xfId="343" applyFont="1" applyBorder="1"/>
    <xf numFmtId="164" fontId="0" fillId="0" borderId="0" xfId="343" applyFont="1"/>
    <xf numFmtId="0" fontId="0" fillId="5" borderId="14" xfId="0" applyFill="1" applyBorder="1" applyAlignment="1">
      <alignment horizontal="center" wrapText="1"/>
    </xf>
    <xf numFmtId="0" fontId="31" fillId="0" borderId="24" xfId="373" applyFont="1" applyBorder="1" applyAlignment="1">
      <alignment horizontal="centerContinuous"/>
    </xf>
    <xf numFmtId="0" fontId="32" fillId="0" borderId="24" xfId="373" applyNumberFormat="1" applyFont="1" applyBorder="1" applyAlignment="1">
      <alignment horizontal="centerContinuous"/>
    </xf>
    <xf numFmtId="0" fontId="30" fillId="0" borderId="24" xfId="373" applyNumberFormat="1" applyFont="1" applyBorder="1" applyAlignment="1">
      <alignment horizontal="centerContinuous" vertical="top"/>
    </xf>
    <xf numFmtId="0" fontId="33" fillId="0" borderId="24" xfId="373" applyFont="1" applyBorder="1" applyAlignment="1">
      <alignment horizontal="centerContinuous"/>
    </xf>
    <xf numFmtId="0" fontId="30" fillId="0" borderId="25" xfId="373" applyNumberFormat="1" applyFont="1" applyBorder="1" applyAlignment="1">
      <alignment horizontal="centerContinuous" vertical="top"/>
    </xf>
    <xf numFmtId="0" fontId="35" fillId="0" borderId="0" xfId="374" applyFont="1"/>
    <xf numFmtId="0" fontId="36" fillId="0" borderId="11" xfId="373" applyFont="1" applyBorder="1" applyAlignment="1">
      <alignment horizontal="centerContinuous"/>
    </xf>
    <xf numFmtId="0" fontId="37" fillId="0" borderId="38" xfId="373" applyFont="1" applyBorder="1" applyAlignment="1">
      <alignment horizontal="centerContinuous"/>
    </xf>
    <xf numFmtId="167" fontId="32" fillId="0" borderId="38" xfId="373" applyNumberFormat="1" applyFont="1" applyBorder="1" applyAlignment="1">
      <alignment horizontal="centerContinuous"/>
    </xf>
    <xf numFmtId="167" fontId="30" fillId="0" borderId="38" xfId="373" applyNumberFormat="1" applyFont="1" applyBorder="1" applyAlignment="1">
      <alignment horizontal="centerContinuous" vertical="top"/>
    </xf>
    <xf numFmtId="1" fontId="36" fillId="0" borderId="11" xfId="373" applyNumberFormat="1" applyFont="1" applyBorder="1" applyAlignment="1">
      <alignment horizontal="centerContinuous"/>
    </xf>
    <xf numFmtId="167" fontId="30" fillId="0" borderId="39" xfId="373" applyNumberFormat="1" applyFont="1" applyBorder="1" applyAlignment="1">
      <alignment horizontal="centerContinuous" vertical="top"/>
    </xf>
    <xf numFmtId="0" fontId="37" fillId="0" borderId="0" xfId="374" applyFont="1"/>
    <xf numFmtId="0" fontId="28" fillId="0" borderId="56" xfId="372" applyFont="1" applyFill="1" applyBorder="1" applyProtection="1">
      <protection locked="0"/>
    </xf>
    <xf numFmtId="0" fontId="34" fillId="0" borderId="0" xfId="374" applyFont="1"/>
    <xf numFmtId="0" fontId="28" fillId="14" borderId="55" xfId="372" applyFont="1" applyFill="1" applyBorder="1" applyAlignment="1">
      <alignment horizontal="center"/>
    </xf>
    <xf numFmtId="0" fontId="28" fillId="14" borderId="56" xfId="372" applyFont="1" applyFill="1" applyBorder="1" applyAlignment="1">
      <alignment horizontal="center"/>
    </xf>
    <xf numFmtId="0" fontId="28" fillId="0" borderId="2" xfId="372" applyFont="1" applyFill="1" applyBorder="1" applyAlignment="1">
      <alignment horizontal="center"/>
    </xf>
    <xf numFmtId="0" fontId="28" fillId="0" borderId="10" xfId="372" applyFont="1" applyFill="1" applyBorder="1" applyAlignment="1">
      <alignment horizontal="center"/>
    </xf>
    <xf numFmtId="0" fontId="28" fillId="0" borderId="10" xfId="372" applyFont="1" applyFill="1" applyBorder="1" applyProtection="1">
      <protection locked="0"/>
    </xf>
    <xf numFmtId="1" fontId="38" fillId="0" borderId="7" xfId="372" applyNumberFormat="1" applyFont="1" applyFill="1" applyBorder="1" applyAlignment="1" applyProtection="1">
      <alignment horizontal="right" vertical="top" wrapText="1"/>
      <protection locked="0"/>
    </xf>
    <xf numFmtId="1" fontId="38" fillId="0" borderId="7" xfId="372" applyNumberFormat="1" applyFont="1" applyFill="1" applyBorder="1" applyAlignment="1" applyProtection="1">
      <alignment vertical="top"/>
      <protection locked="0"/>
    </xf>
    <xf numFmtId="0" fontId="39" fillId="0" borderId="10" xfId="374" applyFont="1" applyBorder="1"/>
    <xf numFmtId="0" fontId="39" fillId="0" borderId="0" xfId="374" applyFont="1"/>
    <xf numFmtId="0" fontId="40" fillId="0" borderId="10" xfId="372" applyFont="1" applyFill="1" applyBorder="1" applyAlignment="1">
      <alignment horizontal="center"/>
    </xf>
    <xf numFmtId="1" fontId="41" fillId="0" borderId="10" xfId="372" applyNumberFormat="1" applyFont="1" applyFill="1" applyBorder="1" applyAlignment="1" applyProtection="1">
      <alignment vertical="top"/>
      <protection locked="0"/>
    </xf>
    <xf numFmtId="0" fontId="30" fillId="0" borderId="0" xfId="374" applyFont="1"/>
    <xf numFmtId="0" fontId="31" fillId="0" borderId="0" xfId="374" applyFont="1"/>
    <xf numFmtId="0" fontId="42" fillId="0" borderId="0" xfId="374" applyFont="1"/>
    <xf numFmtId="0" fontId="31" fillId="0" borderId="0" xfId="374" applyFont="1" applyAlignment="1">
      <alignment horizontal="left"/>
    </xf>
    <xf numFmtId="0" fontId="28" fillId="0" borderId="3" xfId="372" applyFont="1" applyFill="1" applyBorder="1" applyAlignment="1">
      <alignment horizontal="center"/>
    </xf>
    <xf numFmtId="0" fontId="28" fillId="0" borderId="0" xfId="372" applyFont="1" applyFill="1" applyBorder="1" applyAlignment="1">
      <alignment horizontal="center"/>
    </xf>
    <xf numFmtId="0" fontId="28" fillId="0" borderId="0" xfId="372" applyFont="1" applyFill="1" applyBorder="1" applyProtection="1">
      <protection locked="0"/>
    </xf>
    <xf numFmtId="1" fontId="38" fillId="0" borderId="46" xfId="372" applyNumberFormat="1" applyFont="1" applyFill="1" applyBorder="1" applyAlignment="1" applyProtection="1">
      <alignment vertical="top"/>
      <protection locked="0"/>
    </xf>
    <xf numFmtId="0" fontId="0" fillId="3" borderId="1" xfId="0" applyFill="1" applyBorder="1" applyAlignment="1" applyProtection="1">
      <alignment horizontal="center"/>
      <protection locked="0"/>
    </xf>
    <xf numFmtId="0" fontId="14" fillId="0" borderId="0" xfId="0" applyFont="1"/>
    <xf numFmtId="2" fontId="14" fillId="17" borderId="46" xfId="0" applyNumberFormat="1" applyFont="1" applyFill="1" applyBorder="1" applyAlignment="1">
      <alignment horizontal="center"/>
    </xf>
    <xf numFmtId="2" fontId="14" fillId="0" borderId="0" xfId="0" applyNumberFormat="1" applyFont="1"/>
    <xf numFmtId="0" fontId="48" fillId="17" borderId="0" xfId="0" applyFont="1" applyFill="1"/>
    <xf numFmtId="0" fontId="0" fillId="3" borderId="1" xfId="0" applyFill="1" applyBorder="1" applyAlignment="1" applyProtection="1">
      <alignment horizontal="center"/>
      <protection locked="0"/>
    </xf>
    <xf numFmtId="4" fontId="14" fillId="8" borderId="4" xfId="0" applyNumberFormat="1" applyFont="1" applyFill="1" applyBorder="1" applyAlignment="1" applyProtection="1">
      <alignment horizontal="left"/>
      <protection locked="0"/>
    </xf>
    <xf numFmtId="4" fontId="14" fillId="8" borderId="5" xfId="0" applyNumberFormat="1" applyFont="1" applyFill="1" applyBorder="1" applyAlignment="1" applyProtection="1">
      <alignment horizontal="left"/>
      <protection locked="0"/>
    </xf>
    <xf numFmtId="0" fontId="0" fillId="3" borderId="5" xfId="0" applyFill="1" applyBorder="1" applyAlignment="1" applyProtection="1">
      <protection locked="0"/>
    </xf>
    <xf numFmtId="2" fontId="0" fillId="5" borderId="8" xfId="0" applyNumberFormat="1" applyFill="1" applyBorder="1" applyAlignment="1">
      <alignment horizontal="center"/>
    </xf>
    <xf numFmtId="4" fontId="14" fillId="8" borderId="40" xfId="0" applyNumberFormat="1" applyFont="1" applyFill="1" applyBorder="1" applyAlignment="1" applyProtection="1">
      <alignment horizontal="left"/>
      <protection locked="0"/>
    </xf>
    <xf numFmtId="4" fontId="17" fillId="10" borderId="18" xfId="0" applyNumberFormat="1" applyFont="1" applyFill="1" applyBorder="1" applyAlignment="1">
      <alignment horizontal="center"/>
    </xf>
    <xf numFmtId="0" fontId="0" fillId="3" borderId="13" xfId="0" applyFill="1" applyBorder="1" applyAlignment="1" applyProtection="1">
      <protection locked="0"/>
    </xf>
    <xf numFmtId="0" fontId="0" fillId="3" borderId="40" xfId="0" applyFill="1" applyBorder="1" applyAlignment="1" applyProtection="1">
      <protection locked="0"/>
    </xf>
    <xf numFmtId="0" fontId="6" fillId="4" borderId="41" xfId="0" applyFont="1" applyFill="1" applyBorder="1" applyAlignment="1">
      <alignment horizontal="left"/>
    </xf>
    <xf numFmtId="0" fontId="6" fillId="4" borderId="45" xfId="0" applyFont="1" applyFill="1" applyBorder="1" applyAlignment="1">
      <alignment horizontal="left"/>
    </xf>
    <xf numFmtId="4" fontId="0" fillId="5" borderId="1" xfId="0" applyNumberFormat="1" applyFill="1" applyBorder="1" applyAlignment="1">
      <alignment horizontal="right"/>
    </xf>
    <xf numFmtId="0" fontId="0" fillId="5" borderId="4" xfId="0" applyFill="1" applyBorder="1" applyAlignment="1">
      <alignment horizontal="left" wrapText="1"/>
    </xf>
    <xf numFmtId="0" fontId="0" fillId="5" borderId="5" xfId="0" applyFill="1" applyBorder="1" applyAlignment="1">
      <alignment horizontal="left" wrapText="1"/>
    </xf>
    <xf numFmtId="0" fontId="0" fillId="5" borderId="6" xfId="0" applyFill="1" applyBorder="1" applyAlignment="1">
      <alignment horizontal="left" wrapText="1"/>
    </xf>
    <xf numFmtId="2" fontId="0" fillId="5" borderId="1" xfId="0" applyNumberFormat="1" applyFill="1" applyBorder="1" applyAlignment="1">
      <alignment horizontal="center"/>
    </xf>
    <xf numFmtId="4" fontId="14" fillId="8" borderId="4" xfId="0" applyNumberFormat="1" applyFont="1" applyFill="1" applyBorder="1" applyAlignment="1" applyProtection="1">
      <alignment horizontal="left"/>
      <protection locked="0"/>
    </xf>
    <xf numFmtId="4" fontId="14" fillId="8" borderId="5" xfId="0" applyNumberFormat="1" applyFont="1" applyFill="1" applyBorder="1" applyAlignment="1" applyProtection="1">
      <alignment horizontal="left"/>
      <protection locked="0"/>
    </xf>
    <xf numFmtId="4" fontId="14" fillId="8" borderId="40" xfId="0" applyNumberFormat="1" applyFont="1" applyFill="1" applyBorder="1" applyAlignment="1" applyProtection="1">
      <alignment horizontal="left"/>
      <protection locked="0"/>
    </xf>
    <xf numFmtId="0" fontId="0" fillId="5" borderId="6" xfId="0" applyFill="1" applyBorder="1" applyAlignment="1">
      <alignment horizontal="center"/>
    </xf>
    <xf numFmtId="0" fontId="49" fillId="4" borderId="1" xfId="0" applyFont="1" applyFill="1" applyBorder="1" applyAlignment="1">
      <alignment horizontal="center" wrapText="1"/>
    </xf>
    <xf numFmtId="2" fontId="0" fillId="3" borderId="1" xfId="0" applyNumberFormat="1" applyFill="1" applyBorder="1" applyProtection="1">
      <protection locked="0"/>
    </xf>
    <xf numFmtId="0" fontId="1" fillId="4" borderId="1" xfId="0" applyFont="1" applyFill="1" applyBorder="1" applyAlignment="1">
      <alignment vertical="center" wrapText="1"/>
    </xf>
    <xf numFmtId="0" fontId="0" fillId="4" borderId="8" xfId="0" applyFont="1" applyFill="1" applyBorder="1" applyAlignment="1">
      <alignment horizontal="center" vertical="center" wrapText="1"/>
    </xf>
    <xf numFmtId="0" fontId="49" fillId="4" borderId="1" xfId="0" applyFont="1" applyFill="1" applyBorder="1" applyAlignment="1">
      <alignment horizontal="center" wrapText="1"/>
    </xf>
    <xf numFmtId="0" fontId="15" fillId="4" borderId="1" xfId="0" applyFont="1" applyFill="1" applyBorder="1" applyAlignment="1">
      <alignment horizontal="center" wrapText="1"/>
    </xf>
    <xf numFmtId="4" fontId="0" fillId="5" borderId="1" xfId="0" applyNumberFormat="1" applyFill="1" applyBorder="1" applyAlignment="1">
      <alignment horizontal="right"/>
    </xf>
    <xf numFmtId="0" fontId="0" fillId="3" borderId="1" xfId="0" applyFill="1" applyBorder="1" applyAlignment="1" applyProtection="1">
      <alignment horizontal="center"/>
      <protection locked="0"/>
    </xf>
    <xf numFmtId="4" fontId="0" fillId="4" borderId="66" xfId="0" applyNumberFormat="1" applyFont="1" applyFill="1" applyBorder="1" applyAlignment="1">
      <alignment horizontal="right"/>
    </xf>
    <xf numFmtId="2" fontId="0" fillId="3" borderId="12" xfId="0" applyNumberFormat="1" applyFill="1" applyBorder="1" applyAlignment="1" applyProtection="1">
      <alignment horizontal="center"/>
      <protection locked="0"/>
    </xf>
    <xf numFmtId="0" fontId="18" fillId="0" borderId="0" xfId="0" applyFont="1" applyFill="1"/>
    <xf numFmtId="177" fontId="0" fillId="2" borderId="1" xfId="0" applyNumberFormat="1" applyFill="1" applyBorder="1" applyAlignment="1">
      <alignment horizontal="center" wrapText="1"/>
    </xf>
    <xf numFmtId="177" fontId="0" fillId="2" borderId="4" xfId="0" applyNumberFormat="1" applyFill="1" applyBorder="1" applyAlignment="1">
      <alignment horizontal="center" wrapText="1"/>
    </xf>
    <xf numFmtId="177" fontId="0" fillId="2" borderId="1" xfId="0" applyNumberFormat="1" applyFill="1" applyBorder="1" applyAlignment="1">
      <alignment horizontal="center"/>
    </xf>
    <xf numFmtId="177" fontId="0" fillId="2" borderId="4" xfId="0" applyNumberFormat="1" applyFill="1" applyBorder="1" applyAlignment="1">
      <alignment horizontal="center"/>
    </xf>
    <xf numFmtId="1" fontId="0" fillId="5" borderId="8" xfId="0" applyNumberFormat="1" applyFill="1" applyBorder="1" applyAlignment="1">
      <alignment wrapText="1"/>
    </xf>
    <xf numFmtId="2" fontId="0" fillId="5" borderId="2" xfId="0" applyNumberFormat="1" applyFill="1" applyBorder="1" applyAlignment="1">
      <alignment horizontal="right"/>
    </xf>
    <xf numFmtId="166" fontId="0" fillId="5" borderId="66" xfId="0" applyNumberFormat="1" applyFill="1" applyBorder="1"/>
    <xf numFmtId="2" fontId="51" fillId="2" borderId="21" xfId="0" applyNumberFormat="1" applyFont="1" applyFill="1" applyBorder="1" applyAlignment="1" applyProtection="1">
      <alignment horizontal="right" wrapText="1"/>
      <protection locked="0"/>
    </xf>
    <xf numFmtId="166" fontId="51" fillId="19" borderId="67" xfId="0" applyNumberFormat="1" applyFont="1" applyFill="1" applyBorder="1"/>
    <xf numFmtId="166" fontId="51" fillId="19" borderId="61" xfId="0" applyNumberFormat="1" applyFont="1" applyFill="1" applyBorder="1" applyProtection="1">
      <protection locked="0"/>
    </xf>
    <xf numFmtId="2" fontId="51" fillId="2" borderId="22" xfId="0" applyNumberFormat="1" applyFont="1" applyFill="1" applyBorder="1" applyAlignment="1" applyProtection="1">
      <alignment horizontal="right" wrapText="1"/>
      <protection locked="0"/>
    </xf>
    <xf numFmtId="0" fontId="0" fillId="4" borderId="6" xfId="0" applyFill="1" applyBorder="1" applyAlignment="1">
      <alignment horizontal="center"/>
    </xf>
    <xf numFmtId="0" fontId="0" fillId="5" borderId="6" xfId="0" applyFont="1" applyFill="1" applyBorder="1" applyAlignment="1">
      <alignment horizontal="center" vertical="center"/>
    </xf>
    <xf numFmtId="0" fontId="0" fillId="4" borderId="6" xfId="0" applyFont="1" applyFill="1" applyBorder="1" applyAlignment="1">
      <alignment horizontal="center" vertical="center"/>
    </xf>
    <xf numFmtId="0" fontId="30" fillId="0" borderId="0" xfId="505" applyFont="1"/>
    <xf numFmtId="0" fontId="28" fillId="0" borderId="0" xfId="372" applyAlignment="1"/>
    <xf numFmtId="0" fontId="52" fillId="0" borderId="0" xfId="372" applyFont="1" applyAlignment="1"/>
    <xf numFmtId="0" fontId="28" fillId="0" borderId="0" xfId="372"/>
    <xf numFmtId="0" fontId="53" fillId="0" borderId="0" xfId="372" applyFont="1"/>
    <xf numFmtId="0" fontId="30" fillId="0" borderId="0" xfId="505" applyFont="1" applyBorder="1"/>
    <xf numFmtId="0" fontId="55" fillId="0" borderId="0" xfId="505" applyFont="1"/>
    <xf numFmtId="1" fontId="28" fillId="0" borderId="0" xfId="372" applyNumberFormat="1"/>
    <xf numFmtId="0" fontId="28" fillId="0" borderId="0" xfId="372" applyFill="1"/>
    <xf numFmtId="1" fontId="28" fillId="0" borderId="0" xfId="372" applyNumberFormat="1" applyFill="1"/>
    <xf numFmtId="0" fontId="28" fillId="0" borderId="6" xfId="372" applyBorder="1" applyProtection="1"/>
    <xf numFmtId="0" fontId="28" fillId="0" borderId="57" xfId="372" applyBorder="1" applyProtection="1"/>
    <xf numFmtId="0" fontId="28" fillId="0" borderId="71" xfId="372" applyBorder="1" applyProtection="1"/>
    <xf numFmtId="0" fontId="28" fillId="0" borderId="72" xfId="372" applyBorder="1" applyProtection="1"/>
    <xf numFmtId="0" fontId="28" fillId="0" borderId="55" xfId="372" applyBorder="1" applyProtection="1"/>
    <xf numFmtId="0" fontId="28" fillId="0" borderId="56" xfId="372" applyBorder="1" applyProtection="1"/>
    <xf numFmtId="0" fontId="28" fillId="0" borderId="0" xfId="372" applyProtection="1"/>
    <xf numFmtId="0" fontId="28" fillId="0" borderId="7" xfId="372" applyBorder="1" applyProtection="1"/>
    <xf numFmtId="0" fontId="28" fillId="0" borderId="2" xfId="372" applyBorder="1" applyProtection="1"/>
    <xf numFmtId="0" fontId="58" fillId="0" borderId="0" xfId="372" applyFont="1" applyAlignment="1">
      <alignment horizontal="right"/>
    </xf>
    <xf numFmtId="0" fontId="28" fillId="0" borderId="10" xfId="372" applyBorder="1" applyProtection="1"/>
    <xf numFmtId="0" fontId="58" fillId="0" borderId="0" xfId="372" applyFont="1" applyFill="1" applyAlignment="1">
      <alignment horizontal="right"/>
    </xf>
    <xf numFmtId="0" fontId="34" fillId="0" borderId="0" xfId="372" applyFont="1" applyAlignment="1" applyProtection="1">
      <alignment horizontal="right"/>
    </xf>
    <xf numFmtId="0" fontId="34" fillId="0" borderId="0" xfId="372" applyFont="1" applyFill="1" applyAlignment="1" applyProtection="1">
      <alignment horizontal="right"/>
    </xf>
    <xf numFmtId="0" fontId="28" fillId="0" borderId="0" xfId="372" applyFill="1" applyProtection="1"/>
    <xf numFmtId="0" fontId="28" fillId="0" borderId="4" xfId="372" applyBorder="1" applyProtection="1"/>
    <xf numFmtId="0" fontId="28" fillId="0" borderId="5" xfId="372" applyBorder="1" applyProtection="1"/>
    <xf numFmtId="0" fontId="28" fillId="0" borderId="6" xfId="372" applyFill="1" applyBorder="1" applyProtection="1"/>
    <xf numFmtId="0" fontId="28" fillId="0" borderId="5" xfId="372" applyFill="1" applyBorder="1" applyProtection="1"/>
    <xf numFmtId="0" fontId="28" fillId="0" borderId="4" xfId="372" applyFill="1" applyBorder="1" applyProtection="1"/>
    <xf numFmtId="0" fontId="34" fillId="0" borderId="0" xfId="377" applyProtection="1"/>
    <xf numFmtId="0" fontId="28" fillId="0" borderId="51" xfId="372" applyBorder="1" applyProtection="1"/>
    <xf numFmtId="0" fontId="59" fillId="0" borderId="74" xfId="372" applyFont="1" applyBorder="1" applyProtection="1"/>
    <xf numFmtId="0" fontId="28" fillId="0" borderId="48" xfId="372" applyBorder="1" applyProtection="1"/>
    <xf numFmtId="0" fontId="28" fillId="0" borderId="50" xfId="372" applyBorder="1" applyProtection="1"/>
    <xf numFmtId="0" fontId="28" fillId="0" borderId="74" xfId="372" applyBorder="1" applyProtection="1"/>
    <xf numFmtId="0" fontId="28" fillId="0" borderId="75" xfId="372" applyBorder="1" applyProtection="1"/>
    <xf numFmtId="0" fontId="28" fillId="0" borderId="76" xfId="372" applyBorder="1" applyProtection="1"/>
    <xf numFmtId="0" fontId="28" fillId="0" borderId="77" xfId="372" applyBorder="1" applyProtection="1"/>
    <xf numFmtId="0" fontId="28" fillId="0" borderId="10" xfId="372" applyBorder="1" applyAlignment="1" applyProtection="1">
      <alignment horizontal="center"/>
    </xf>
    <xf numFmtId="0" fontId="28" fillId="0" borderId="0" xfId="372" applyBorder="1" applyProtection="1"/>
    <xf numFmtId="0" fontId="28" fillId="0" borderId="0" xfId="372" applyBorder="1" applyAlignment="1" applyProtection="1">
      <alignment horizontal="center"/>
    </xf>
    <xf numFmtId="0" fontId="28" fillId="20" borderId="0" xfId="372" applyFill="1"/>
    <xf numFmtId="0" fontId="28" fillId="0" borderId="10" xfId="372" applyFill="1" applyBorder="1"/>
    <xf numFmtId="0" fontId="28" fillId="0" borderId="56" xfId="372" applyFill="1" applyBorder="1" applyAlignment="1" applyProtection="1">
      <alignment horizontal="center"/>
    </xf>
    <xf numFmtId="0" fontId="28" fillId="0" borderId="55" xfId="372" applyFill="1" applyBorder="1" applyAlignment="1" applyProtection="1">
      <alignment horizontal="center"/>
    </xf>
    <xf numFmtId="0" fontId="28" fillId="0" borderId="0" xfId="372" applyFill="1" applyBorder="1"/>
    <xf numFmtId="0" fontId="28" fillId="0" borderId="0" xfId="372" applyFill="1" applyBorder="1" applyProtection="1">
      <protection locked="0"/>
    </xf>
    <xf numFmtId="0" fontId="28" fillId="0" borderId="0" xfId="372" applyFill="1" applyBorder="1" applyAlignment="1">
      <alignment horizontal="center"/>
    </xf>
    <xf numFmtId="0" fontId="28" fillId="0" borderId="10" xfId="372" applyFill="1" applyBorder="1" applyProtection="1">
      <protection locked="0"/>
    </xf>
    <xf numFmtId="0" fontId="28" fillId="0" borderId="10" xfId="372" applyFill="1" applyBorder="1" applyAlignment="1">
      <alignment horizontal="center"/>
    </xf>
    <xf numFmtId="1" fontId="58" fillId="0" borderId="0" xfId="372" applyNumberFormat="1" applyFont="1" applyFill="1" applyBorder="1" applyAlignment="1" applyProtection="1">
      <alignment horizontal="right" vertical="top" wrapText="1"/>
      <protection locked="0"/>
    </xf>
    <xf numFmtId="0" fontId="28" fillId="0" borderId="73" xfId="372" applyFill="1" applyBorder="1" applyAlignment="1" applyProtection="1">
      <alignment horizontal="center"/>
    </xf>
    <xf numFmtId="0" fontId="28" fillId="0" borderId="71" xfId="372" applyFill="1" applyBorder="1" applyAlignment="1" applyProtection="1">
      <alignment horizontal="center"/>
    </xf>
    <xf numFmtId="0" fontId="60" fillId="14" borderId="56" xfId="372" applyFont="1" applyFill="1" applyBorder="1" applyProtection="1">
      <protection locked="0"/>
    </xf>
    <xf numFmtId="0" fontId="28" fillId="0" borderId="27" xfId="372" applyFill="1" applyBorder="1" applyProtection="1"/>
    <xf numFmtId="167" fontId="61" fillId="0" borderId="19" xfId="372" applyNumberFormat="1" applyFont="1" applyFill="1" applyBorder="1" applyAlignment="1" applyProtection="1">
      <alignment horizontal="centerContinuous"/>
    </xf>
    <xf numFmtId="167" fontId="61" fillId="0" borderId="27" xfId="372" applyNumberFormat="1" applyFont="1" applyFill="1" applyBorder="1" applyAlignment="1" applyProtection="1">
      <alignment horizontal="centerContinuous"/>
    </xf>
    <xf numFmtId="0" fontId="28" fillId="0" borderId="27" xfId="372" applyFill="1" applyBorder="1" applyAlignment="1" applyProtection="1">
      <alignment horizontal="centerContinuous"/>
    </xf>
    <xf numFmtId="0" fontId="61" fillId="0" borderId="34" xfId="372" applyFont="1" applyFill="1" applyBorder="1" applyAlignment="1" applyProtection="1">
      <alignment horizontal="centerContinuous"/>
    </xf>
    <xf numFmtId="167" fontId="61" fillId="0" borderId="19" xfId="372" applyNumberFormat="1" applyFont="1" applyBorder="1" applyAlignment="1" applyProtection="1">
      <alignment horizontal="centerContinuous"/>
    </xf>
    <xf numFmtId="167" fontId="61" fillId="0" borderId="27" xfId="372" applyNumberFormat="1" applyFont="1" applyBorder="1" applyAlignment="1" applyProtection="1">
      <alignment horizontal="centerContinuous"/>
    </xf>
    <xf numFmtId="0" fontId="28" fillId="0" borderId="27" xfId="372" applyBorder="1" applyAlignment="1" applyProtection="1">
      <alignment horizontal="centerContinuous"/>
    </xf>
    <xf numFmtId="0" fontId="61" fillId="0" borderId="34" xfId="372" applyFont="1" applyBorder="1" applyAlignment="1" applyProtection="1">
      <alignment horizontal="centerContinuous"/>
    </xf>
    <xf numFmtId="0" fontId="28" fillId="0" borderId="10" xfId="372" applyFill="1" applyBorder="1" applyProtection="1"/>
    <xf numFmtId="0" fontId="61" fillId="0" borderId="7" xfId="372" applyNumberFormat="1" applyFont="1" applyFill="1" applyBorder="1" applyAlignment="1" applyProtection="1">
      <alignment horizontal="centerContinuous"/>
    </xf>
    <xf numFmtId="0" fontId="61" fillId="0" borderId="10" xfId="372" applyNumberFormat="1" applyFont="1" applyFill="1" applyBorder="1" applyAlignment="1" applyProtection="1">
      <alignment horizontal="centerContinuous"/>
    </xf>
    <xf numFmtId="0" fontId="28" fillId="0" borderId="10" xfId="372" applyFill="1" applyBorder="1" applyAlignment="1" applyProtection="1">
      <alignment horizontal="centerContinuous"/>
    </xf>
    <xf numFmtId="0" fontId="61" fillId="0" borderId="2" xfId="372" applyFont="1" applyFill="1" applyBorder="1" applyAlignment="1" applyProtection="1">
      <alignment horizontal="centerContinuous"/>
    </xf>
    <xf numFmtId="0" fontId="61" fillId="0" borderId="7" xfId="372" applyNumberFormat="1" applyFont="1" applyBorder="1" applyAlignment="1" applyProtection="1">
      <alignment horizontal="centerContinuous"/>
    </xf>
    <xf numFmtId="0" fontId="61" fillId="0" borderId="10" xfId="372" applyNumberFormat="1" applyFont="1" applyBorder="1" applyAlignment="1" applyProtection="1">
      <alignment horizontal="centerContinuous"/>
    </xf>
    <xf numFmtId="0" fontId="28" fillId="0" borderId="10" xfId="372" applyBorder="1" applyAlignment="1" applyProtection="1">
      <alignment horizontal="centerContinuous"/>
    </xf>
    <xf numFmtId="0" fontId="61" fillId="0" borderId="2" xfId="372" applyFont="1" applyBorder="1" applyAlignment="1" applyProtection="1">
      <alignment horizontal="centerContinuous"/>
    </xf>
    <xf numFmtId="178" fontId="28" fillId="0" borderId="0" xfId="372" applyNumberFormat="1" applyBorder="1" applyProtection="1"/>
    <xf numFmtId="178" fontId="28" fillId="0" borderId="0" xfId="372" applyNumberFormat="1" applyProtection="1"/>
    <xf numFmtId="0" fontId="54" fillId="0" borderId="0" xfId="372" applyFont="1" applyBorder="1" applyProtection="1"/>
    <xf numFmtId="0" fontId="54" fillId="0" borderId="0" xfId="372" applyFont="1" applyProtection="1"/>
    <xf numFmtId="0" fontId="34" fillId="0" borderId="0" xfId="374"/>
    <xf numFmtId="0" fontId="43" fillId="0" borderId="0" xfId="374" applyFont="1"/>
    <xf numFmtId="0" fontId="43" fillId="0" borderId="5" xfId="374" applyFont="1" applyBorder="1"/>
    <xf numFmtId="0" fontId="43" fillId="0" borderId="5" xfId="374" applyFont="1" applyBorder="1" applyAlignment="1">
      <alignment horizontal="right"/>
    </xf>
    <xf numFmtId="0" fontId="43" fillId="0" borderId="4" xfId="374" applyFont="1" applyBorder="1"/>
    <xf numFmtId="0" fontId="43" fillId="0" borderId="0" xfId="374" applyFont="1" applyBorder="1"/>
    <xf numFmtId="0" fontId="43" fillId="0" borderId="5" xfId="372" applyFont="1" applyBorder="1"/>
    <xf numFmtId="167" fontId="63" fillId="0" borderId="19" xfId="372" applyNumberFormat="1" applyFont="1" applyBorder="1" applyAlignment="1">
      <alignment horizontal="centerContinuous" vertical="top"/>
    </xf>
    <xf numFmtId="167" fontId="64" fillId="0" borderId="27" xfId="372" applyNumberFormat="1" applyFont="1" applyBorder="1" applyAlignment="1">
      <alignment horizontal="centerContinuous"/>
    </xf>
    <xf numFmtId="0" fontId="63" fillId="0" borderId="27" xfId="372" applyFont="1" applyBorder="1" applyAlignment="1">
      <alignment horizontal="centerContinuous"/>
    </xf>
    <xf numFmtId="0" fontId="64" fillId="0" borderId="34" xfId="372" applyFont="1" applyBorder="1" applyAlignment="1">
      <alignment horizontal="centerContinuous"/>
    </xf>
    <xf numFmtId="1" fontId="64" fillId="0" borderId="34" xfId="372" applyNumberFormat="1" applyFont="1" applyBorder="1" applyAlignment="1">
      <alignment horizontal="centerContinuous"/>
    </xf>
    <xf numFmtId="0" fontId="65" fillId="0" borderId="25" xfId="372" applyNumberFormat="1" applyFont="1" applyBorder="1" applyAlignment="1">
      <alignment horizontal="centerContinuous" vertical="top"/>
    </xf>
    <xf numFmtId="0" fontId="29" fillId="0" borderId="24" xfId="372" applyNumberFormat="1" applyFont="1" applyBorder="1" applyAlignment="1">
      <alignment horizontal="centerContinuous"/>
    </xf>
    <xf numFmtId="0" fontId="65" fillId="0" borderId="24" xfId="372" applyFont="1" applyBorder="1" applyAlignment="1">
      <alignment horizontal="centerContinuous"/>
    </xf>
    <xf numFmtId="0" fontId="29" fillId="0" borderId="24" xfId="372" applyFont="1" applyBorder="1" applyAlignment="1">
      <alignment horizontal="centerContinuous"/>
    </xf>
    <xf numFmtId="0" fontId="65" fillId="0" borderId="24" xfId="372" applyNumberFormat="1" applyFont="1" applyBorder="1" applyAlignment="1">
      <alignment horizontal="centerContinuous" vertical="top"/>
    </xf>
    <xf numFmtId="0" fontId="29" fillId="0" borderId="23" xfId="372" applyFont="1" applyBorder="1" applyAlignment="1">
      <alignment horizontal="centerContinuous"/>
    </xf>
    <xf numFmtId="1" fontId="41" fillId="0" borderId="0" xfId="372" applyNumberFormat="1" applyFont="1" applyFill="1" applyBorder="1" applyAlignment="1" applyProtection="1">
      <alignment vertical="top"/>
      <protection locked="0"/>
    </xf>
    <xf numFmtId="0" fontId="39" fillId="0" borderId="0" xfId="374" applyFont="1" applyBorder="1"/>
    <xf numFmtId="0" fontId="40" fillId="0" borderId="0" xfId="372" applyFont="1" applyFill="1" applyBorder="1" applyAlignment="1">
      <alignment horizontal="center"/>
    </xf>
    <xf numFmtId="0" fontId="28" fillId="0" borderId="73" xfId="372" applyFont="1" applyFill="1" applyBorder="1" applyProtection="1">
      <protection locked="0"/>
    </xf>
    <xf numFmtId="4" fontId="0" fillId="5" borderId="1" xfId="0" applyNumberFormat="1" applyFill="1" applyBorder="1" applyAlignment="1">
      <alignment horizontal="right"/>
    </xf>
    <xf numFmtId="0" fontId="0" fillId="0" borderId="27" xfId="0" applyBorder="1"/>
    <xf numFmtId="0" fontId="0" fillId="4" borderId="8" xfId="0" applyFont="1" applyFill="1" applyBorder="1" applyAlignment="1">
      <alignment vertical="center" wrapText="1"/>
    </xf>
    <xf numFmtId="0" fontId="0" fillId="4" borderId="35" xfId="0" applyFont="1" applyFill="1" applyBorder="1" applyAlignment="1">
      <alignment vertical="center" wrapText="1"/>
    </xf>
    <xf numFmtId="9" fontId="7" fillId="4" borderId="35" xfId="0" applyNumberFormat="1" applyFont="1" applyFill="1" applyBorder="1" applyAlignment="1">
      <alignment horizontal="center" vertical="center" wrapText="1"/>
    </xf>
    <xf numFmtId="0" fontId="7" fillId="4" borderId="8" xfId="0" applyFont="1" applyFill="1" applyBorder="1" applyAlignment="1">
      <alignment horizontal="center" vertical="center" wrapText="1"/>
    </xf>
    <xf numFmtId="2" fontId="0" fillId="5" borderId="1" xfId="0" applyNumberFormat="1" applyFill="1" applyBorder="1" applyAlignment="1">
      <alignment horizontal="right"/>
    </xf>
    <xf numFmtId="0" fontId="19" fillId="0" borderId="0" xfId="0" applyFont="1"/>
    <xf numFmtId="0" fontId="6" fillId="4" borderId="5" xfId="0" applyFont="1" applyFill="1" applyBorder="1" applyAlignment="1"/>
    <xf numFmtId="0" fontId="6" fillId="4" borderId="6" xfId="0" applyFont="1" applyFill="1" applyBorder="1" applyAlignment="1"/>
    <xf numFmtId="0" fontId="6" fillId="4" borderId="4" xfId="0" applyFont="1" applyFill="1" applyBorder="1" applyAlignment="1"/>
    <xf numFmtId="0" fontId="13" fillId="4" borderId="1" xfId="0" applyFont="1" applyFill="1" applyBorder="1" applyAlignment="1">
      <alignment vertical="top" wrapText="1"/>
    </xf>
    <xf numFmtId="0" fontId="0" fillId="0" borderId="0" xfId="0" applyBorder="1"/>
    <xf numFmtId="4" fontId="0" fillId="4" borderId="65" xfId="0" applyNumberFormat="1" applyFont="1" applyFill="1" applyBorder="1" applyAlignment="1">
      <alignment horizontal="right"/>
    </xf>
    <xf numFmtId="0" fontId="28" fillId="0" borderId="51" xfId="372" applyBorder="1" applyAlignment="1" applyProtection="1">
      <alignment horizontal="right"/>
    </xf>
    <xf numFmtId="1" fontId="0" fillId="0" borderId="0" xfId="0" applyNumberFormat="1"/>
    <xf numFmtId="49" fontId="0" fillId="4" borderId="41" xfId="0" applyNumberFormat="1" applyFont="1" applyFill="1" applyBorder="1" applyAlignment="1">
      <alignment vertical="center" wrapText="1"/>
    </xf>
    <xf numFmtId="49" fontId="0" fillId="4" borderId="45" xfId="0" applyNumberFormat="1" applyFont="1" applyFill="1" applyBorder="1" applyAlignment="1">
      <alignment vertical="center" wrapText="1"/>
    </xf>
    <xf numFmtId="49" fontId="0" fillId="4" borderId="54" xfId="0" applyNumberFormat="1" applyFont="1" applyFill="1" applyBorder="1" applyAlignment="1">
      <alignment vertical="center" wrapText="1"/>
    </xf>
    <xf numFmtId="49" fontId="0" fillId="4" borderId="11" xfId="0" applyNumberFormat="1" applyFont="1" applyFill="1" applyBorder="1" applyAlignment="1"/>
    <xf numFmtId="49" fontId="0" fillId="4" borderId="38" xfId="0" applyNumberFormat="1" applyFont="1" applyFill="1" applyBorder="1" applyAlignment="1"/>
    <xf numFmtId="4" fontId="0" fillId="5" borderId="1" xfId="0" applyNumberFormat="1" applyFont="1" applyFill="1" applyBorder="1" applyAlignment="1">
      <alignment horizontal="right"/>
    </xf>
    <xf numFmtId="4" fontId="0" fillId="4" borderId="52" xfId="0" applyNumberFormat="1" applyFont="1" applyFill="1" applyBorder="1" applyAlignment="1">
      <alignment horizontal="right"/>
    </xf>
    <xf numFmtId="2" fontId="0" fillId="5" borderId="14" xfId="0" applyNumberFormat="1" applyFont="1" applyFill="1" applyBorder="1" applyAlignment="1">
      <alignment horizontal="right"/>
    </xf>
    <xf numFmtId="49" fontId="0" fillId="4" borderId="0" xfId="0" applyNumberFormat="1" applyFont="1" applyFill="1" applyBorder="1" applyAlignment="1">
      <alignment horizontal="left" vertical="center" wrapText="1"/>
    </xf>
    <xf numFmtId="4" fontId="0" fillId="2" borderId="27" xfId="0" applyNumberFormat="1" applyFill="1" applyBorder="1" applyAlignment="1">
      <alignment horizontal="right"/>
    </xf>
    <xf numFmtId="0" fontId="14" fillId="8" borderId="2" xfId="0" applyFont="1" applyFill="1" applyBorder="1" applyAlignment="1" applyProtection="1">
      <alignment horizontal="left"/>
      <protection locked="0"/>
    </xf>
    <xf numFmtId="0" fontId="14" fillId="8" borderId="10" xfId="0" applyFont="1" applyFill="1" applyBorder="1" applyAlignment="1" applyProtection="1">
      <alignment horizontal="left"/>
      <protection locked="0"/>
    </xf>
    <xf numFmtId="0" fontId="14" fillId="8" borderId="80" xfId="0" applyFont="1" applyFill="1" applyBorder="1" applyAlignment="1" applyProtection="1">
      <alignment horizontal="left"/>
      <protection locked="0"/>
    </xf>
    <xf numFmtId="0" fontId="76" fillId="0" borderId="0" xfId="0" applyFont="1"/>
    <xf numFmtId="0" fontId="28" fillId="22" borderId="0" xfId="372" applyFill="1"/>
    <xf numFmtId="0" fontId="28" fillId="3" borderId="0" xfId="372" applyFill="1"/>
    <xf numFmtId="166" fontId="0" fillId="3" borderId="1" xfId="0" applyNumberFormat="1" applyFont="1" applyFill="1" applyBorder="1" applyAlignment="1" applyProtection="1">
      <alignment horizontal="center"/>
      <protection locked="0"/>
    </xf>
    <xf numFmtId="0" fontId="68" fillId="0" borderId="0" xfId="374" applyFont="1" applyFill="1" applyBorder="1" applyAlignment="1">
      <alignment horizontal="center"/>
    </xf>
    <xf numFmtId="0" fontId="66" fillId="0" borderId="0" xfId="374" applyFont="1" applyFill="1" applyBorder="1"/>
    <xf numFmtId="0" fontId="67" fillId="0" borderId="0" xfId="374" applyFont="1" applyFill="1" applyBorder="1"/>
    <xf numFmtId="0" fontId="68" fillId="0" borderId="33" xfId="374" applyFont="1" applyFill="1" applyBorder="1" applyAlignment="1"/>
    <xf numFmtId="0" fontId="68" fillId="0" borderId="0" xfId="374" applyFont="1" applyFill="1" applyBorder="1" applyAlignment="1"/>
    <xf numFmtId="0" fontId="28" fillId="0" borderId="56" xfId="372" applyFont="1" applyFill="1" applyBorder="1" applyAlignment="1" applyProtection="1">
      <alignment wrapText="1"/>
      <protection locked="0"/>
    </xf>
    <xf numFmtId="0" fontId="28" fillId="0" borderId="73" xfId="372" applyFont="1" applyFill="1" applyBorder="1" applyAlignment="1" applyProtection="1">
      <alignment wrapText="1"/>
      <protection locked="0"/>
    </xf>
    <xf numFmtId="0" fontId="78" fillId="0" borderId="0" xfId="372" applyFont="1"/>
    <xf numFmtId="0" fontId="78" fillId="0" borderId="0" xfId="372" applyFont="1" applyProtection="1"/>
    <xf numFmtId="0" fontId="60" fillId="14" borderId="73" xfId="372" applyFont="1" applyFill="1" applyBorder="1" applyProtection="1">
      <protection locked="0"/>
    </xf>
    <xf numFmtId="0" fontId="28" fillId="0" borderId="55" xfId="0" applyFont="1" applyBorder="1"/>
    <xf numFmtId="0" fontId="28" fillId="0" borderId="56" xfId="0" applyFont="1" applyBorder="1"/>
    <xf numFmtId="0" fontId="28" fillId="23" borderId="0" xfId="372" applyFill="1"/>
    <xf numFmtId="0" fontId="80" fillId="0" borderId="0" xfId="505" applyFont="1"/>
    <xf numFmtId="0" fontId="81" fillId="23" borderId="0" xfId="505" applyFont="1" applyFill="1"/>
    <xf numFmtId="0" fontId="82" fillId="0" borderId="0" xfId="505" applyFont="1" applyAlignment="1">
      <alignment horizontal="left"/>
    </xf>
    <xf numFmtId="0" fontId="82" fillId="0" borderId="0" xfId="505" applyFont="1"/>
    <xf numFmtId="0" fontId="83" fillId="0" borderId="0" xfId="505" applyFont="1" applyAlignment="1">
      <alignment horizontal="center"/>
    </xf>
    <xf numFmtId="0" fontId="36" fillId="0" borderId="0" xfId="505" applyFont="1" applyAlignment="1">
      <alignment horizontal="center"/>
    </xf>
    <xf numFmtId="0" fontId="78" fillId="24" borderId="0" xfId="372" applyFont="1" applyFill="1"/>
    <xf numFmtId="0" fontId="28" fillId="25" borderId="0" xfId="372" applyFill="1"/>
    <xf numFmtId="0" fontId="28" fillId="28" borderId="0" xfId="372" applyFill="1"/>
    <xf numFmtId="0" fontId="28" fillId="29" borderId="0" xfId="372" applyFill="1"/>
    <xf numFmtId="0" fontId="28" fillId="4" borderId="0" xfId="372" applyFill="1"/>
    <xf numFmtId="0" fontId="28" fillId="27" borderId="0" xfId="372" applyFill="1"/>
    <xf numFmtId="0" fontId="78" fillId="2" borderId="0" xfId="372" applyFont="1" applyFill="1"/>
    <xf numFmtId="0" fontId="84" fillId="0" borderId="0" xfId="372" applyFont="1"/>
    <xf numFmtId="0" fontId="84" fillId="2" borderId="0" xfId="372" applyFont="1" applyFill="1"/>
    <xf numFmtId="0" fontId="28" fillId="0" borderId="77" xfId="372" applyFont="1" applyFill="1" applyBorder="1" applyProtection="1">
      <protection locked="0"/>
    </xf>
    <xf numFmtId="0" fontId="28" fillId="0" borderId="50" xfId="372" applyFont="1" applyFill="1" applyBorder="1" applyProtection="1">
      <protection locked="0"/>
    </xf>
    <xf numFmtId="1" fontId="59" fillId="14" borderId="56" xfId="372" applyNumberFormat="1" applyFont="1" applyFill="1" applyBorder="1" applyAlignment="1">
      <alignment horizontal="center"/>
    </xf>
    <xf numFmtId="1" fontId="59" fillId="14" borderId="7" xfId="372" applyNumberFormat="1" applyFont="1" applyFill="1" applyBorder="1" applyAlignment="1">
      <alignment horizontal="center"/>
    </xf>
    <xf numFmtId="1" fontId="59" fillId="14" borderId="57" xfId="372" applyNumberFormat="1" applyFont="1" applyFill="1" applyBorder="1" applyAlignment="1">
      <alignment horizontal="center"/>
    </xf>
    <xf numFmtId="1" fontId="59" fillId="14" borderId="72" xfId="372" applyNumberFormat="1" applyFont="1" applyFill="1" applyBorder="1" applyAlignment="1">
      <alignment horizontal="center"/>
    </xf>
    <xf numFmtId="0" fontId="59" fillId="14" borderId="56" xfId="372" applyFont="1" applyFill="1" applyBorder="1" applyAlignment="1">
      <alignment horizontal="center"/>
    </xf>
    <xf numFmtId="1" fontId="28" fillId="14" borderId="50" xfId="372" applyNumberFormat="1" applyFill="1" applyBorder="1" applyProtection="1">
      <protection locked="0"/>
    </xf>
    <xf numFmtId="0" fontId="47" fillId="14" borderId="10" xfId="372" applyNumberFormat="1" applyFont="1" applyFill="1" applyBorder="1" applyAlignment="1" applyProtection="1">
      <alignment wrapText="1"/>
    </xf>
    <xf numFmtId="0" fontId="47" fillId="14" borderId="56" xfId="372" applyNumberFormat="1" applyFont="1" applyFill="1" applyBorder="1" applyAlignment="1" applyProtection="1">
      <alignment wrapText="1"/>
    </xf>
    <xf numFmtId="0" fontId="47" fillId="14" borderId="73" xfId="372" applyNumberFormat="1" applyFont="1" applyFill="1" applyBorder="1" applyAlignment="1" applyProtection="1">
      <alignment wrapText="1"/>
    </xf>
    <xf numFmtId="0" fontId="47" fillId="14" borderId="77" xfId="372" applyNumberFormat="1" applyFont="1" applyFill="1" applyBorder="1" applyAlignment="1" applyProtection="1">
      <alignment wrapText="1"/>
    </xf>
    <xf numFmtId="0" fontId="47" fillId="14" borderId="50" xfId="372" applyNumberFormat="1" applyFont="1" applyFill="1" applyBorder="1" applyAlignment="1" applyProtection="1">
      <alignment wrapText="1"/>
    </xf>
    <xf numFmtId="1" fontId="28" fillId="14" borderId="75" xfId="372" applyNumberFormat="1" applyFill="1" applyBorder="1" applyProtection="1">
      <protection locked="0"/>
    </xf>
    <xf numFmtId="1" fontId="28" fillId="14" borderId="51" xfId="372" applyNumberFormat="1" applyFill="1" applyBorder="1" applyProtection="1">
      <protection locked="0"/>
    </xf>
    <xf numFmtId="1" fontId="28" fillId="14" borderId="72" xfId="372" applyNumberFormat="1" applyFill="1" applyBorder="1" applyProtection="1">
      <protection locked="0"/>
    </xf>
    <xf numFmtId="0" fontId="56" fillId="0" borderId="0" xfId="505" applyFont="1" applyAlignment="1">
      <alignment horizontal="center"/>
    </xf>
    <xf numFmtId="0" fontId="79" fillId="0" borderId="0" xfId="505" applyFont="1" applyAlignment="1">
      <alignment horizontal="center"/>
    </xf>
    <xf numFmtId="0" fontId="32" fillId="0" borderId="0" xfId="372" applyFont="1"/>
    <xf numFmtId="0" fontId="63" fillId="0" borderId="0" xfId="372" applyFont="1" applyProtection="1"/>
    <xf numFmtId="0" fontId="32" fillId="0" borderId="0" xfId="372" applyFont="1" applyAlignment="1" applyProtection="1">
      <alignment horizontal="left"/>
    </xf>
    <xf numFmtId="0" fontId="86" fillId="0" borderId="0" xfId="372" applyFont="1" applyProtection="1"/>
    <xf numFmtId="0" fontId="28" fillId="0" borderId="0" xfId="372" applyFill="1" applyBorder="1" applyProtection="1"/>
    <xf numFmtId="0" fontId="28" fillId="0" borderId="4" xfId="372" applyFill="1" applyBorder="1" applyAlignment="1" applyProtection="1">
      <alignment horizontal="center"/>
    </xf>
    <xf numFmtId="0" fontId="28" fillId="0" borderId="5" xfId="372" applyFill="1" applyBorder="1" applyAlignment="1" applyProtection="1">
      <alignment horizontal="center"/>
    </xf>
    <xf numFmtId="0" fontId="60" fillId="14" borderId="5" xfId="372" applyFont="1" applyFill="1" applyBorder="1" applyProtection="1">
      <protection locked="0"/>
    </xf>
    <xf numFmtId="1" fontId="58" fillId="14" borderId="6" xfId="372" applyNumberFormat="1" applyFont="1" applyFill="1" applyBorder="1" applyAlignment="1" applyProtection="1">
      <alignment horizontal="right" vertical="top" wrapText="1"/>
    </xf>
    <xf numFmtId="0" fontId="28" fillId="0" borderId="2" xfId="372" applyBorder="1" applyAlignment="1" applyProtection="1">
      <alignment horizontal="centerContinuous"/>
    </xf>
    <xf numFmtId="0" fontId="28" fillId="0" borderId="34" xfId="372" applyBorder="1" applyAlignment="1" applyProtection="1">
      <alignment horizontal="centerContinuous"/>
    </xf>
    <xf numFmtId="0" fontId="47" fillId="0" borderId="0" xfId="377" applyFont="1" applyProtection="1"/>
    <xf numFmtId="0" fontId="87" fillId="30" borderId="11" xfId="372" applyFont="1" applyFill="1" applyBorder="1" applyProtection="1"/>
    <xf numFmtId="0" fontId="84" fillId="30" borderId="39" xfId="372" applyFont="1" applyFill="1" applyBorder="1" applyProtection="1"/>
    <xf numFmtId="0" fontId="28" fillId="0" borderId="81" xfId="372" applyBorder="1" applyProtection="1"/>
    <xf numFmtId="0" fontId="28" fillId="0" borderId="82" xfId="372" applyBorder="1" applyProtection="1"/>
    <xf numFmtId="0" fontId="28" fillId="24" borderId="83" xfId="372" applyFill="1" applyBorder="1" applyProtection="1"/>
    <xf numFmtId="0" fontId="28" fillId="24" borderId="84" xfId="372" applyFill="1" applyBorder="1" applyProtection="1"/>
    <xf numFmtId="0" fontId="59" fillId="3" borderId="83" xfId="372" applyFont="1" applyFill="1" applyBorder="1" applyProtection="1"/>
    <xf numFmtId="0" fontId="28" fillId="3" borderId="84" xfId="372" applyFill="1" applyBorder="1" applyProtection="1"/>
    <xf numFmtId="0" fontId="28" fillId="29" borderId="83" xfId="372" applyFill="1" applyBorder="1" applyProtection="1"/>
    <xf numFmtId="0" fontId="28" fillId="29" borderId="84" xfId="372" applyFill="1" applyBorder="1" applyProtection="1"/>
    <xf numFmtId="0" fontId="28" fillId="4" borderId="83" xfId="372" applyFill="1" applyBorder="1" applyProtection="1"/>
    <xf numFmtId="0" fontId="28" fillId="4" borderId="84" xfId="372" applyFill="1" applyBorder="1" applyProtection="1"/>
    <xf numFmtId="0" fontId="28" fillId="22" borderId="83" xfId="372" applyFill="1" applyBorder="1" applyProtection="1"/>
    <xf numFmtId="0" fontId="28" fillId="22" borderId="84" xfId="372" applyFill="1" applyBorder="1" applyProtection="1"/>
    <xf numFmtId="0" fontId="28" fillId="23" borderId="83" xfId="372" applyFill="1" applyBorder="1" applyProtection="1"/>
    <xf numFmtId="0" fontId="28" fillId="23" borderId="84" xfId="372" applyFill="1" applyBorder="1" applyProtection="1"/>
    <xf numFmtId="0" fontId="52" fillId="0" borderId="86" xfId="372" applyFont="1" applyBorder="1" applyProtection="1"/>
    <xf numFmtId="0" fontId="52" fillId="0" borderId="87" xfId="372" applyFont="1" applyBorder="1" applyProtection="1"/>
    <xf numFmtId="0" fontId="28" fillId="0" borderId="88" xfId="372" applyBorder="1" applyProtection="1"/>
    <xf numFmtId="0" fontId="28" fillId="0" borderId="84" xfId="372" applyBorder="1" applyProtection="1"/>
    <xf numFmtId="0" fontId="28" fillId="0" borderId="85" xfId="372" applyBorder="1" applyProtection="1"/>
    <xf numFmtId="0" fontId="52" fillId="0" borderId="44" xfId="372" applyFont="1" applyBorder="1" applyProtection="1"/>
    <xf numFmtId="0" fontId="43" fillId="0" borderId="0" xfId="372" applyFont="1" applyFill="1" applyBorder="1" applyAlignment="1" applyProtection="1">
      <alignment horizontal="left"/>
    </xf>
    <xf numFmtId="0" fontId="28" fillId="0" borderId="0" xfId="372" applyFill="1" applyBorder="1" applyAlignment="1" applyProtection="1">
      <alignment horizontal="left"/>
      <protection locked="0"/>
    </xf>
    <xf numFmtId="0" fontId="34" fillId="0" borderId="0" xfId="377" applyFill="1" applyProtection="1"/>
    <xf numFmtId="0" fontId="28" fillId="20" borderId="0" xfId="372" applyFill="1" applyBorder="1"/>
    <xf numFmtId="0" fontId="28" fillId="0" borderId="2" xfId="372" applyFill="1" applyBorder="1" applyProtection="1"/>
    <xf numFmtId="0" fontId="28" fillId="0" borderId="7" xfId="372" applyFill="1" applyBorder="1" applyProtection="1"/>
    <xf numFmtId="0" fontId="43" fillId="0" borderId="34" xfId="372" applyFont="1" applyFill="1" applyBorder="1" applyProtection="1"/>
    <xf numFmtId="0" fontId="28" fillId="0" borderId="19" xfId="372" applyFill="1" applyBorder="1" applyProtection="1"/>
    <xf numFmtId="0" fontId="28" fillId="0" borderId="2" xfId="372" applyFill="1" applyBorder="1" applyAlignment="1" applyProtection="1">
      <alignment horizontal="centerContinuous"/>
    </xf>
    <xf numFmtId="0" fontId="28" fillId="0" borderId="34" xfId="372" applyFill="1" applyBorder="1" applyAlignment="1" applyProtection="1">
      <alignment horizontal="centerContinuous"/>
    </xf>
    <xf numFmtId="0" fontId="52" fillId="0" borderId="42" xfId="372" applyFont="1" applyFill="1" applyBorder="1" applyProtection="1"/>
    <xf numFmtId="0" fontId="56" fillId="0" borderId="78" xfId="374" applyFont="1" applyBorder="1"/>
    <xf numFmtId="0" fontId="43" fillId="0" borderId="6" xfId="374" applyFont="1" applyBorder="1" applyAlignment="1">
      <alignment horizontal="right"/>
    </xf>
    <xf numFmtId="0" fontId="43" fillId="4" borderId="4" xfId="374" applyFont="1" applyFill="1" applyBorder="1"/>
    <xf numFmtId="0" fontId="43" fillId="4" borderId="5" xfId="374" applyFont="1" applyFill="1" applyBorder="1"/>
    <xf numFmtId="0" fontId="62" fillId="4" borderId="5" xfId="374" applyFont="1" applyFill="1" applyBorder="1" applyAlignment="1">
      <alignment horizontal="right"/>
    </xf>
    <xf numFmtId="0" fontId="43" fillId="4" borderId="6" xfId="374" applyFont="1" applyFill="1" applyBorder="1" applyAlignment="1">
      <alignment horizontal="right"/>
    </xf>
    <xf numFmtId="0" fontId="43" fillId="22" borderId="4" xfId="374" applyFont="1" applyFill="1" applyBorder="1"/>
    <xf numFmtId="0" fontId="43" fillId="22" borderId="5" xfId="374" applyFont="1" applyFill="1" applyBorder="1"/>
    <xf numFmtId="0" fontId="43" fillId="22" borderId="5" xfId="374" applyFont="1" applyFill="1" applyBorder="1" applyAlignment="1">
      <alignment horizontal="right"/>
    </xf>
    <xf numFmtId="0" fontId="43" fillId="22" borderId="6" xfId="374" applyFont="1" applyFill="1" applyBorder="1" applyAlignment="1">
      <alignment horizontal="right"/>
    </xf>
    <xf numFmtId="0" fontId="43" fillId="23" borderId="4" xfId="374" applyFont="1" applyFill="1" applyBorder="1"/>
    <xf numFmtId="0" fontId="43" fillId="23" borderId="5" xfId="374" applyFont="1" applyFill="1" applyBorder="1"/>
    <xf numFmtId="0" fontId="43" fillId="23" borderId="5" xfId="374" applyFont="1" applyFill="1" applyBorder="1" applyAlignment="1">
      <alignment horizontal="right"/>
    </xf>
    <xf numFmtId="0" fontId="43" fillId="23" borderId="6" xfId="374" applyFont="1" applyFill="1" applyBorder="1" applyAlignment="1">
      <alignment horizontal="right"/>
    </xf>
    <xf numFmtId="0" fontId="43" fillId="3" borderId="4" xfId="374" applyFont="1" applyFill="1" applyBorder="1"/>
    <xf numFmtId="0" fontId="43" fillId="3" borderId="5" xfId="374" applyFont="1" applyFill="1" applyBorder="1"/>
    <xf numFmtId="0" fontId="43" fillId="24" borderId="4" xfId="374" applyFont="1" applyFill="1" applyBorder="1"/>
    <xf numFmtId="0" fontId="43" fillId="24" borderId="5" xfId="374" applyFont="1" applyFill="1" applyBorder="1"/>
    <xf numFmtId="0" fontId="62" fillId="24" borderId="5" xfId="374" applyFont="1" applyFill="1" applyBorder="1" applyAlignment="1">
      <alignment horizontal="right"/>
    </xf>
    <xf numFmtId="0" fontId="43" fillId="3" borderId="5" xfId="374" applyFont="1" applyFill="1" applyBorder="1" applyAlignment="1">
      <alignment horizontal="right"/>
    </xf>
    <xf numFmtId="0" fontId="43" fillId="3" borderId="6" xfId="374" applyFont="1" applyFill="1" applyBorder="1" applyAlignment="1"/>
    <xf numFmtId="0" fontId="43" fillId="27" borderId="4" xfId="374" applyFont="1" applyFill="1" applyBorder="1"/>
    <xf numFmtId="0" fontId="43" fillId="27" borderId="5" xfId="374" applyFont="1" applyFill="1" applyBorder="1"/>
    <xf numFmtId="0" fontId="43" fillId="27" borderId="5" xfId="374" applyFont="1" applyFill="1" applyBorder="1" applyAlignment="1">
      <alignment horizontal="right"/>
    </xf>
    <xf numFmtId="0" fontId="43" fillId="27" borderId="6" xfId="374" applyFont="1" applyFill="1" applyBorder="1" applyAlignment="1">
      <alignment horizontal="right"/>
    </xf>
    <xf numFmtId="0" fontId="43" fillId="29" borderId="4" xfId="374" applyFont="1" applyFill="1" applyBorder="1"/>
    <xf numFmtId="0" fontId="43" fillId="29" borderId="5" xfId="374" applyFont="1" applyFill="1" applyBorder="1"/>
    <xf numFmtId="0" fontId="43" fillId="29" borderId="5" xfId="374" applyFont="1" applyFill="1" applyBorder="1" applyAlignment="1">
      <alignment horizontal="right"/>
    </xf>
    <xf numFmtId="0" fontId="43" fillId="29" borderId="6" xfId="374" applyFont="1" applyFill="1" applyBorder="1" applyAlignment="1">
      <alignment horizontal="right"/>
    </xf>
    <xf numFmtId="0" fontId="90" fillId="30" borderId="4" xfId="374" applyFont="1" applyFill="1" applyBorder="1"/>
    <xf numFmtId="0" fontId="90" fillId="30" borderId="5" xfId="374" applyFont="1" applyFill="1" applyBorder="1"/>
    <xf numFmtId="0" fontId="90" fillId="30" borderId="5" xfId="372" applyFont="1" applyFill="1" applyBorder="1"/>
    <xf numFmtId="0" fontId="90" fillId="30" borderId="5" xfId="374" applyFont="1" applyFill="1" applyBorder="1" applyAlignment="1">
      <alignment horizontal="right"/>
    </xf>
    <xf numFmtId="0" fontId="90" fillId="30" borderId="6" xfId="374" applyFont="1" applyFill="1" applyBorder="1" applyAlignment="1">
      <alignment horizontal="right"/>
    </xf>
    <xf numFmtId="0" fontId="43" fillId="0" borderId="23" xfId="374" applyFont="1" applyBorder="1"/>
    <xf numFmtId="0" fontId="43" fillId="0" borderId="24" xfId="374" applyFont="1" applyBorder="1"/>
    <xf numFmtId="0" fontId="43" fillId="0" borderId="24" xfId="374" applyFont="1" applyBorder="1" applyAlignment="1">
      <alignment horizontal="right"/>
    </xf>
    <xf numFmtId="0" fontId="43" fillId="0" borderId="25" xfId="374" applyFont="1" applyBorder="1" applyAlignment="1">
      <alignment horizontal="right"/>
    </xf>
    <xf numFmtId="0" fontId="57" fillId="5" borderId="29" xfId="374" applyFont="1" applyFill="1" applyBorder="1"/>
    <xf numFmtId="0" fontId="57" fillId="5" borderId="43" xfId="374" applyFont="1" applyFill="1" applyBorder="1"/>
    <xf numFmtId="0" fontId="56" fillId="22" borderId="5" xfId="374" applyFont="1" applyFill="1" applyBorder="1" applyAlignment="1"/>
    <xf numFmtId="0" fontId="56" fillId="27" borderId="79" xfId="374" applyFont="1" applyFill="1" applyBorder="1"/>
    <xf numFmtId="0" fontId="56" fillId="32" borderId="5" xfId="0" applyFont="1" applyFill="1" applyBorder="1"/>
    <xf numFmtId="0" fontId="56" fillId="33" borderId="0" xfId="374" applyFont="1" applyFill="1" applyBorder="1"/>
    <xf numFmtId="0" fontId="89" fillId="33" borderId="0" xfId="374" applyFont="1" applyFill="1" applyBorder="1"/>
    <xf numFmtId="0" fontId="89" fillId="33" borderId="45" xfId="374" applyFont="1" applyFill="1" applyBorder="1"/>
    <xf numFmtId="0" fontId="56" fillId="0" borderId="39" xfId="374" applyFont="1" applyBorder="1"/>
    <xf numFmtId="0" fontId="56" fillId="24" borderId="40" xfId="374" applyFont="1" applyFill="1" applyBorder="1"/>
    <xf numFmtId="0" fontId="56" fillId="3" borderId="78" xfId="374" applyFont="1" applyFill="1" applyBorder="1"/>
    <xf numFmtId="0" fontId="57" fillId="5" borderId="44" xfId="374" applyFont="1" applyFill="1" applyBorder="1"/>
    <xf numFmtId="0" fontId="56" fillId="29" borderId="39" xfId="374" applyFont="1" applyFill="1" applyBorder="1"/>
    <xf numFmtId="0" fontId="39" fillId="33" borderId="0" xfId="374" applyFont="1" applyFill="1" applyBorder="1"/>
    <xf numFmtId="0" fontId="69" fillId="33" borderId="0" xfId="374" applyFont="1" applyFill="1" applyBorder="1"/>
    <xf numFmtId="0" fontId="69" fillId="33" borderId="45" xfId="374" applyFont="1" applyFill="1" applyBorder="1"/>
    <xf numFmtId="0" fontId="56" fillId="4" borderId="13" xfId="374" applyFont="1" applyFill="1" applyBorder="1" applyAlignment="1"/>
    <xf numFmtId="0" fontId="43" fillId="24" borderId="6" xfId="374" applyFont="1" applyFill="1" applyBorder="1" applyAlignment="1">
      <alignment horizontal="right"/>
    </xf>
    <xf numFmtId="0" fontId="81" fillId="0" borderId="0" xfId="505" applyFont="1"/>
    <xf numFmtId="4" fontId="0" fillId="5" borderId="1" xfId="0" applyNumberFormat="1" applyFill="1" applyBorder="1" applyAlignment="1">
      <alignment horizontal="right"/>
    </xf>
    <xf numFmtId="0" fontId="81" fillId="0" borderId="0" xfId="372" applyFont="1" applyProtection="1"/>
    <xf numFmtId="0" fontId="94" fillId="0" borderId="0" xfId="372" applyFont="1" applyProtection="1"/>
    <xf numFmtId="167" fontId="30" fillId="0" borderId="31" xfId="373" applyNumberFormat="1" applyFont="1" applyBorder="1" applyAlignment="1">
      <alignment horizontal="centerContinuous" vertical="top"/>
    </xf>
    <xf numFmtId="0" fontId="85" fillId="3" borderId="0" xfId="372" applyFont="1" applyFill="1" applyProtection="1">
      <protection locked="0"/>
    </xf>
    <xf numFmtId="0" fontId="28" fillId="2" borderId="0" xfId="372" applyFill="1"/>
    <xf numFmtId="0" fontId="84" fillId="30" borderId="0" xfId="372" applyFont="1" applyFill="1"/>
    <xf numFmtId="0" fontId="84" fillId="0" borderId="0" xfId="372" applyFont="1" applyProtection="1"/>
    <xf numFmtId="0" fontId="28" fillId="0" borderId="3" xfId="372" applyBorder="1" applyProtection="1"/>
    <xf numFmtId="0" fontId="28" fillId="0" borderId="46" xfId="372" applyBorder="1" applyProtection="1"/>
    <xf numFmtId="0" fontId="84" fillId="30" borderId="33" xfId="372" applyFont="1" applyFill="1" applyBorder="1" applyProtection="1"/>
    <xf numFmtId="0" fontId="84" fillId="30" borderId="88" xfId="372" applyFont="1" applyFill="1" applyBorder="1" applyProtection="1"/>
    <xf numFmtId="0" fontId="28" fillId="27" borderId="83" xfId="372" applyFill="1" applyBorder="1" applyProtection="1"/>
    <xf numFmtId="0" fontId="28" fillId="27" borderId="84" xfId="372" applyFill="1" applyBorder="1" applyProtection="1"/>
    <xf numFmtId="0" fontId="90" fillId="34" borderId="5" xfId="0" applyFont="1" applyFill="1" applyBorder="1"/>
    <xf numFmtId="0" fontId="90" fillId="34" borderId="5" xfId="0" applyFont="1" applyFill="1" applyBorder="1" applyAlignment="1">
      <alignment horizontal="right"/>
    </xf>
    <xf numFmtId="0" fontId="90" fillId="34" borderId="6" xfId="0" applyFont="1" applyFill="1" applyBorder="1" applyAlignment="1">
      <alignment horizontal="right"/>
    </xf>
    <xf numFmtId="0" fontId="90" fillId="34" borderId="4" xfId="0" applyFont="1" applyFill="1" applyBorder="1"/>
    <xf numFmtId="0" fontId="89" fillId="30" borderId="5" xfId="374" applyFont="1" applyFill="1" applyBorder="1" applyAlignment="1"/>
    <xf numFmtId="0" fontId="89" fillId="30" borderId="40" xfId="374" applyFont="1" applyFill="1" applyBorder="1"/>
    <xf numFmtId="0" fontId="96" fillId="36" borderId="5" xfId="0" applyFont="1" applyFill="1" applyBorder="1"/>
    <xf numFmtId="0" fontId="96" fillId="36" borderId="40" xfId="0" applyFont="1" applyFill="1" applyBorder="1"/>
    <xf numFmtId="0" fontId="30" fillId="2" borderId="0" xfId="505" applyFont="1" applyFill="1"/>
    <xf numFmtId="0" fontId="0" fillId="4" borderId="1" xfId="0" applyFont="1" applyFill="1" applyBorder="1" applyAlignment="1">
      <alignment horizontal="center" vertical="center" wrapText="1"/>
    </xf>
    <xf numFmtId="0" fontId="28" fillId="14" borderId="74" xfId="372" applyFont="1" applyFill="1" applyBorder="1" applyAlignment="1">
      <alignment horizontal="center"/>
    </xf>
    <xf numFmtId="0" fontId="28" fillId="14" borderId="50" xfId="372" applyFont="1" applyFill="1" applyBorder="1" applyAlignment="1">
      <alignment horizontal="center"/>
    </xf>
    <xf numFmtId="1" fontId="59" fillId="14" borderId="51" xfId="372" applyNumberFormat="1" applyFont="1" applyFill="1" applyBorder="1" applyAlignment="1">
      <alignment horizontal="center"/>
    </xf>
    <xf numFmtId="0" fontId="28" fillId="0" borderId="74" xfId="372" applyFill="1" applyBorder="1" applyAlignment="1" applyProtection="1">
      <alignment horizontal="center"/>
    </xf>
    <xf numFmtId="0" fontId="28" fillId="0" borderId="50" xfId="372" applyFill="1" applyBorder="1" applyAlignment="1" applyProtection="1">
      <alignment horizontal="center"/>
    </xf>
    <xf numFmtId="0" fontId="60" fillId="14" borderId="50" xfId="372" applyFont="1" applyFill="1" applyBorder="1" applyProtection="1">
      <protection locked="0"/>
    </xf>
    <xf numFmtId="0" fontId="28" fillId="0" borderId="50" xfId="372" applyFont="1" applyFill="1" applyBorder="1" applyAlignment="1" applyProtection="1">
      <alignment wrapText="1"/>
      <protection locked="0"/>
    </xf>
    <xf numFmtId="0" fontId="84" fillId="2" borderId="73" xfId="372" applyFont="1" applyFill="1" applyBorder="1" applyAlignment="1" applyProtection="1">
      <alignment horizontal="center"/>
    </xf>
    <xf numFmtId="0" fontId="84" fillId="2" borderId="73" xfId="372" applyFont="1" applyFill="1" applyBorder="1" applyProtection="1">
      <protection locked="0"/>
    </xf>
    <xf numFmtId="0" fontId="84" fillId="2" borderId="73" xfId="372" applyFont="1" applyFill="1" applyBorder="1" applyAlignment="1" applyProtection="1">
      <alignment wrapText="1"/>
      <protection locked="0"/>
    </xf>
    <xf numFmtId="1" fontId="84" fillId="2" borderId="72" xfId="372" applyNumberFormat="1" applyFont="1" applyFill="1" applyBorder="1" applyProtection="1">
      <protection locked="0"/>
    </xf>
    <xf numFmtId="0" fontId="95" fillId="35" borderId="13" xfId="0" applyFont="1" applyFill="1" applyBorder="1"/>
    <xf numFmtId="0" fontId="56" fillId="31" borderId="13" xfId="0" applyFont="1" applyFill="1" applyBorder="1"/>
    <xf numFmtId="0" fontId="88" fillId="23" borderId="13" xfId="374" applyFont="1" applyFill="1" applyBorder="1" applyAlignment="1"/>
    <xf numFmtId="0" fontId="65" fillId="0" borderId="24" xfId="343" applyNumberFormat="1" applyFont="1" applyBorder="1" applyAlignment="1">
      <alignment horizontal="centerContinuous" vertical="top"/>
    </xf>
    <xf numFmtId="0" fontId="63" fillId="0" borderId="19" xfId="343" applyNumberFormat="1" applyFont="1" applyBorder="1" applyAlignment="1">
      <alignment horizontal="centerContinuous" vertical="top"/>
    </xf>
    <xf numFmtId="0" fontId="0" fillId="0" borderId="0" xfId="343" applyNumberFormat="1" applyFont="1"/>
    <xf numFmtId="0" fontId="0" fillId="5" borderId="1" xfId="0" applyFill="1" applyBorder="1" applyAlignment="1" applyProtection="1">
      <protection locked="0"/>
    </xf>
    <xf numFmtId="4" fontId="0" fillId="5" borderId="1" xfId="0" applyNumberFormat="1" applyFill="1" applyBorder="1" applyAlignment="1" applyProtection="1">
      <protection locked="0"/>
    </xf>
    <xf numFmtId="0" fontId="75" fillId="9" borderId="0" xfId="0" applyFont="1" applyFill="1" applyBorder="1" applyAlignment="1">
      <alignment wrapText="1" shrinkToFit="1"/>
    </xf>
    <xf numFmtId="0" fontId="0" fillId="0" borderId="2" xfId="0" applyBorder="1"/>
    <xf numFmtId="0" fontId="0" fillId="0" borderId="10" xfId="0" applyBorder="1"/>
    <xf numFmtId="0" fontId="0" fillId="0" borderId="7" xfId="0" applyBorder="1"/>
    <xf numFmtId="0" fontId="0" fillId="0" borderId="3" xfId="0" applyBorder="1"/>
    <xf numFmtId="0" fontId="0" fillId="0" borderId="46" xfId="0" applyBorder="1"/>
    <xf numFmtId="0" fontId="0" fillId="4" borderId="3" xfId="0" applyFill="1" applyBorder="1"/>
    <xf numFmtId="0" fontId="0" fillId="4" borderId="0" xfId="0" applyFill="1" applyBorder="1"/>
    <xf numFmtId="0" fontId="0" fillId="4" borderId="46" xfId="0" applyFill="1" applyBorder="1"/>
    <xf numFmtId="0" fontId="0" fillId="0" borderId="34" xfId="0" applyBorder="1"/>
    <xf numFmtId="0" fontId="0" fillId="0" borderId="19" xfId="0" applyBorder="1"/>
    <xf numFmtId="0" fontId="0" fillId="4" borderId="34" xfId="0" applyFill="1" applyBorder="1"/>
    <xf numFmtId="0" fontId="0" fillId="4" borderId="27" xfId="0" applyFill="1" applyBorder="1"/>
    <xf numFmtId="0" fontId="0" fillId="4" borderId="19" xfId="0" applyFill="1" applyBorder="1"/>
    <xf numFmtId="0" fontId="0" fillId="4" borderId="2" xfId="0" applyFill="1" applyBorder="1"/>
    <xf numFmtId="0" fontId="0" fillId="4" borderId="10" xfId="0" applyFill="1" applyBorder="1"/>
    <xf numFmtId="0" fontId="0" fillId="4" borderId="7" xfId="0" applyFill="1" applyBorder="1"/>
    <xf numFmtId="0" fontId="43" fillId="0" borderId="46" xfId="372" applyFont="1" applyBorder="1" applyAlignment="1">
      <alignment horizontal="left" wrapText="1"/>
    </xf>
    <xf numFmtId="0" fontId="43" fillId="0" borderId="0" xfId="505" applyFont="1" applyAlignment="1">
      <alignment wrapText="1"/>
    </xf>
    <xf numFmtId="0" fontId="53" fillId="4" borderId="0" xfId="505" applyFont="1" applyFill="1" applyAlignment="1">
      <alignment wrapText="1"/>
    </xf>
    <xf numFmtId="0" fontId="43" fillId="4" borderId="0" xfId="505" applyFont="1" applyFill="1" applyAlignment="1">
      <alignment horizontal="justify" vertical="justify" wrapText="1"/>
    </xf>
    <xf numFmtId="0" fontId="43" fillId="0" borderId="0" xfId="505" applyFont="1" applyAlignment="1">
      <alignment horizontal="justify" vertical="justify"/>
    </xf>
    <xf numFmtId="0" fontId="53" fillId="22" borderId="0" xfId="505" applyFont="1" applyFill="1" applyAlignment="1">
      <alignment horizontal="justify" vertical="justify"/>
    </xf>
    <xf numFmtId="0" fontId="43" fillId="0" borderId="0" xfId="505" applyFont="1" applyAlignment="1">
      <alignment horizontal="justify" vertical="justify" wrapText="1"/>
    </xf>
    <xf numFmtId="0" fontId="53" fillId="0" borderId="0" xfId="505" applyFont="1" applyAlignment="1">
      <alignment horizontal="justify" vertical="justify"/>
    </xf>
    <xf numFmtId="0" fontId="43" fillId="24" borderId="0" xfId="505" applyFont="1" applyFill="1" applyAlignment="1">
      <alignment horizontal="justify" vertical="justify" wrapText="1"/>
    </xf>
    <xf numFmtId="0" fontId="43" fillId="25" borderId="0" xfId="505" applyFont="1" applyFill="1" applyAlignment="1">
      <alignment horizontal="justify" vertical="justify" wrapText="1"/>
    </xf>
    <xf numFmtId="0" fontId="43" fillId="28" borderId="0" xfId="505" applyFont="1" applyFill="1" applyAlignment="1">
      <alignment horizontal="justify" vertical="justify" wrapText="1"/>
    </xf>
    <xf numFmtId="0" fontId="43" fillId="3" borderId="0" xfId="505" applyFont="1" applyFill="1" applyAlignment="1">
      <alignment horizontal="justify" vertical="justify" wrapText="1"/>
    </xf>
    <xf numFmtId="0" fontId="43" fillId="0" borderId="0" xfId="505" applyFont="1" applyAlignment="1">
      <alignment horizontal="left" wrapText="1"/>
    </xf>
    <xf numFmtId="0" fontId="53" fillId="26" borderId="0" xfId="505" applyFont="1" applyFill="1" applyAlignment="1">
      <alignment horizontal="justify" vertical="justify" wrapText="1"/>
    </xf>
    <xf numFmtId="0" fontId="43" fillId="2" borderId="0" xfId="505" applyFont="1" applyFill="1" applyAlignment="1">
      <alignment horizontal="justify" vertical="justify" wrapText="1"/>
    </xf>
    <xf numFmtId="0" fontId="100" fillId="30" borderId="0" xfId="505" applyFont="1" applyFill="1" applyAlignment="1">
      <alignment horizontal="justify" vertical="justify" wrapText="1"/>
    </xf>
    <xf numFmtId="0" fontId="90" fillId="30" borderId="0" xfId="505" applyFont="1" applyFill="1" applyAlignment="1">
      <alignment horizontal="justify" vertical="justify" wrapText="1"/>
    </xf>
    <xf numFmtId="0" fontId="53" fillId="27" borderId="0" xfId="505" applyFont="1" applyFill="1" applyAlignment="1">
      <alignment horizontal="justify" vertical="justify"/>
    </xf>
    <xf numFmtId="0" fontId="43" fillId="2" borderId="0" xfId="505" applyFont="1" applyFill="1" applyAlignment="1">
      <alignment horizontal="left" vertical="justify" wrapText="1"/>
    </xf>
    <xf numFmtId="0" fontId="43" fillId="0" borderId="0" xfId="505" applyFont="1"/>
    <xf numFmtId="0" fontId="28" fillId="0" borderId="0" xfId="372" applyFont="1" applyAlignment="1"/>
    <xf numFmtId="0" fontId="28" fillId="14" borderId="71" xfId="372" applyFont="1" applyFill="1" applyBorder="1" applyAlignment="1">
      <alignment horizontal="center"/>
    </xf>
    <xf numFmtId="0" fontId="28" fillId="14" borderId="73" xfId="372" applyFont="1" applyFill="1" applyBorder="1" applyAlignment="1">
      <alignment horizontal="center"/>
    </xf>
    <xf numFmtId="2" fontId="102" fillId="0" borderId="10" xfId="374" applyNumberFormat="1" applyFont="1" applyBorder="1"/>
    <xf numFmtId="0" fontId="43" fillId="23" borderId="0" xfId="505" applyFont="1" applyFill="1" applyAlignment="1">
      <alignment horizontal="justify" vertical="justify" wrapText="1"/>
    </xf>
    <xf numFmtId="0" fontId="80" fillId="0" borderId="0" xfId="505" applyFont="1" applyAlignment="1">
      <alignment horizontal="left" wrapText="1"/>
    </xf>
    <xf numFmtId="0" fontId="43" fillId="22" borderId="0" xfId="505" applyFont="1" applyFill="1" applyAlignment="1">
      <alignment horizontal="justify" vertical="justify" wrapText="1"/>
    </xf>
    <xf numFmtId="0" fontId="43" fillId="26" borderId="0" xfId="505" applyFont="1" applyFill="1" applyAlignment="1">
      <alignment horizontal="justify" vertical="justify" wrapText="1"/>
    </xf>
    <xf numFmtId="0" fontId="43" fillId="0" borderId="0" xfId="505" applyFont="1" applyAlignment="1">
      <alignment horizontal="justify" vertical="justify" wrapText="1"/>
    </xf>
    <xf numFmtId="0" fontId="43" fillId="27" borderId="0" xfId="505" applyFont="1" applyFill="1" applyAlignment="1">
      <alignment horizontal="left" vertical="justify" wrapText="1"/>
    </xf>
    <xf numFmtId="0" fontId="43" fillId="0" borderId="46" xfId="372" applyFont="1" applyBorder="1" applyAlignment="1">
      <alignment horizontal="left" wrapText="1"/>
    </xf>
    <xf numFmtId="0" fontId="43" fillId="0" borderId="46" xfId="372" applyFont="1" applyBorder="1" applyAlignment="1">
      <alignment horizontal="left" vertical="center" wrapText="1"/>
    </xf>
    <xf numFmtId="0" fontId="43" fillId="0" borderId="46" xfId="372" applyFont="1" applyFill="1" applyBorder="1" applyAlignment="1">
      <alignment horizontal="left" wrapText="1"/>
    </xf>
    <xf numFmtId="0" fontId="28" fillId="0" borderId="76" xfId="372" applyBorder="1" applyAlignment="1" applyProtection="1">
      <alignment horizontal="left"/>
    </xf>
    <xf numFmtId="0" fontId="28" fillId="0" borderId="77" xfId="372" applyBorder="1" applyAlignment="1" applyProtection="1">
      <alignment horizontal="left"/>
    </xf>
    <xf numFmtId="0" fontId="28" fillId="14" borderId="76" xfId="372" applyFill="1" applyBorder="1" applyAlignment="1" applyProtection="1">
      <alignment horizontal="left"/>
      <protection locked="0"/>
    </xf>
    <xf numFmtId="0" fontId="28" fillId="14" borderId="77" xfId="372" applyFill="1" applyBorder="1" applyAlignment="1" applyProtection="1">
      <alignment horizontal="left"/>
      <protection locked="0"/>
    </xf>
    <xf numFmtId="0" fontId="28" fillId="14" borderId="75" xfId="372" applyFill="1" applyBorder="1" applyAlignment="1" applyProtection="1">
      <alignment horizontal="left"/>
      <protection locked="0"/>
    </xf>
    <xf numFmtId="0" fontId="28" fillId="14" borderId="4" xfId="372" applyFill="1" applyBorder="1" applyAlignment="1" applyProtection="1">
      <alignment horizontal="left"/>
      <protection locked="0"/>
    </xf>
    <xf numFmtId="0" fontId="28" fillId="14" borderId="5" xfId="372" applyFill="1" applyBorder="1" applyAlignment="1" applyProtection="1">
      <alignment horizontal="left"/>
      <protection locked="0"/>
    </xf>
    <xf numFmtId="0" fontId="28" fillId="14" borderId="6" xfId="372" applyFill="1" applyBorder="1" applyAlignment="1" applyProtection="1">
      <alignment horizontal="left"/>
      <protection locked="0"/>
    </xf>
    <xf numFmtId="0" fontId="53" fillId="0" borderId="46" xfId="372" applyFont="1" applyBorder="1" applyAlignment="1">
      <alignment horizontal="left" vertical="center" wrapText="1"/>
    </xf>
    <xf numFmtId="0" fontId="28" fillId="0" borderId="74" xfId="372" applyBorder="1" applyAlignment="1" applyProtection="1">
      <alignment horizontal="left"/>
    </xf>
    <xf numFmtId="0" fontId="28" fillId="0" borderId="50" xfId="372" applyBorder="1" applyAlignment="1" applyProtection="1">
      <alignment horizontal="left"/>
    </xf>
    <xf numFmtId="0" fontId="43" fillId="0" borderId="2" xfId="372" applyFont="1" applyBorder="1" applyAlignment="1" applyProtection="1">
      <alignment horizontal="left"/>
    </xf>
    <xf numFmtId="0" fontId="43" fillId="0" borderId="10" xfId="372" applyFont="1" applyBorder="1" applyAlignment="1" applyProtection="1">
      <alignment horizontal="left"/>
    </xf>
    <xf numFmtId="0" fontId="43" fillId="0" borderId="7" xfId="372" applyFont="1" applyBorder="1" applyAlignment="1" applyProtection="1">
      <alignment horizontal="left"/>
    </xf>
    <xf numFmtId="0" fontId="43" fillId="0" borderId="34" xfId="372" applyFont="1" applyBorder="1" applyAlignment="1" applyProtection="1">
      <alignment horizontal="left"/>
    </xf>
    <xf numFmtId="0" fontId="43" fillId="0" borderId="27" xfId="372" applyFont="1" applyBorder="1" applyAlignment="1" applyProtection="1">
      <alignment horizontal="left"/>
    </xf>
    <xf numFmtId="0" fontId="43" fillId="0" borderId="19" xfId="372" applyFont="1" applyBorder="1" applyAlignment="1" applyProtection="1">
      <alignment horizontal="left"/>
    </xf>
    <xf numFmtId="0" fontId="43" fillId="0" borderId="2" xfId="372" applyFont="1" applyFill="1" applyBorder="1" applyAlignment="1" applyProtection="1">
      <alignment horizontal="left"/>
    </xf>
    <xf numFmtId="0" fontId="43" fillId="0" borderId="10" xfId="372" applyFont="1" applyFill="1" applyBorder="1" applyAlignment="1" applyProtection="1">
      <alignment horizontal="left"/>
    </xf>
    <xf numFmtId="0" fontId="43" fillId="0" borderId="7" xfId="372" applyFont="1" applyFill="1" applyBorder="1" applyAlignment="1" applyProtection="1">
      <alignment horizontal="left"/>
    </xf>
    <xf numFmtId="0" fontId="43" fillId="0" borderId="34" xfId="372" applyFont="1" applyFill="1" applyBorder="1" applyAlignment="1" applyProtection="1">
      <alignment horizontal="left"/>
    </xf>
    <xf numFmtId="0" fontId="43" fillId="0" borderId="27" xfId="372" applyFont="1" applyFill="1" applyBorder="1" applyAlignment="1" applyProtection="1">
      <alignment horizontal="left"/>
    </xf>
    <xf numFmtId="0" fontId="43" fillId="0" borderId="19" xfId="372" applyFont="1" applyFill="1" applyBorder="1" applyAlignment="1" applyProtection="1">
      <alignment horizontal="left"/>
    </xf>
    <xf numFmtId="0" fontId="28" fillId="14" borderId="2" xfId="372" applyFill="1" applyBorder="1" applyAlignment="1" applyProtection="1">
      <alignment horizontal="left"/>
      <protection locked="0"/>
    </xf>
    <xf numFmtId="0" fontId="28" fillId="14" borderId="10" xfId="372" applyFill="1" applyBorder="1" applyAlignment="1" applyProtection="1">
      <alignment horizontal="left"/>
      <protection locked="0"/>
    </xf>
    <xf numFmtId="0" fontId="28" fillId="14" borderId="7" xfId="372" applyFill="1" applyBorder="1" applyAlignment="1" applyProtection="1">
      <alignment horizontal="left"/>
      <protection locked="0"/>
    </xf>
    <xf numFmtId="0" fontId="68" fillId="4" borderId="23" xfId="374" applyFont="1" applyFill="1" applyBorder="1" applyAlignment="1">
      <alignment horizontal="center"/>
    </xf>
    <xf numFmtId="0" fontId="68" fillId="4" borderId="24" xfId="374" applyFont="1" applyFill="1" applyBorder="1" applyAlignment="1">
      <alignment horizontal="center"/>
    </xf>
    <xf numFmtId="0" fontId="68" fillId="4" borderId="25" xfId="374" applyFont="1" applyFill="1" applyBorder="1" applyAlignment="1">
      <alignment horizontal="center"/>
    </xf>
    <xf numFmtId="0" fontId="56" fillId="27" borderId="41" xfId="374" applyFont="1" applyFill="1" applyBorder="1" applyAlignment="1">
      <alignment horizontal="left"/>
    </xf>
    <xf numFmtId="0" fontId="56" fillId="27" borderId="45" xfId="374" applyFont="1" applyFill="1" applyBorder="1" applyAlignment="1">
      <alignment horizontal="left"/>
    </xf>
    <xf numFmtId="0" fontId="56" fillId="0" borderId="64" xfId="374" applyFont="1" applyBorder="1" applyAlignment="1">
      <alignment horizontal="left"/>
    </xf>
    <xf numFmtId="0" fontId="56" fillId="0" borderId="27" xfId="374" applyFont="1" applyBorder="1" applyAlignment="1">
      <alignment horizontal="left"/>
    </xf>
    <xf numFmtId="0" fontId="56" fillId="29" borderId="11" xfId="374" applyFont="1" applyFill="1" applyBorder="1" applyAlignment="1">
      <alignment horizontal="left"/>
    </xf>
    <xf numFmtId="0" fontId="56" fillId="29" borderId="38" xfId="374" applyFont="1" applyFill="1" applyBorder="1" applyAlignment="1">
      <alignment horizontal="left"/>
    </xf>
    <xf numFmtId="0" fontId="56" fillId="24" borderId="13" xfId="374" applyFont="1" applyFill="1" applyBorder="1" applyAlignment="1">
      <alignment horizontal="left"/>
    </xf>
    <xf numFmtId="0" fontId="56" fillId="24" borderId="5" xfId="374" applyFont="1" applyFill="1" applyBorder="1" applyAlignment="1">
      <alignment horizontal="left"/>
    </xf>
    <xf numFmtId="0" fontId="56" fillId="3" borderId="64" xfId="374" applyFont="1" applyFill="1" applyBorder="1" applyAlignment="1">
      <alignment horizontal="left"/>
    </xf>
    <xf numFmtId="0" fontId="56" fillId="3" borderId="27" xfId="374" applyFont="1" applyFill="1" applyBorder="1" applyAlignment="1">
      <alignment horizontal="left"/>
    </xf>
    <xf numFmtId="0" fontId="56" fillId="22" borderId="5" xfId="374" applyFont="1" applyFill="1" applyBorder="1" applyAlignment="1">
      <alignment horizontal="right"/>
    </xf>
    <xf numFmtId="0" fontId="56" fillId="22" borderId="40" xfId="374" applyFont="1" applyFill="1" applyBorder="1" applyAlignment="1">
      <alignment horizontal="right"/>
    </xf>
    <xf numFmtId="0" fontId="95" fillId="35" borderId="5" xfId="0" applyFont="1" applyFill="1" applyBorder="1" applyAlignment="1">
      <alignment horizontal="right"/>
    </xf>
    <xf numFmtId="0" fontId="95" fillId="35" borderId="47" xfId="0" applyFont="1" applyFill="1" applyBorder="1" applyAlignment="1">
      <alignment horizontal="right"/>
    </xf>
    <xf numFmtId="0" fontId="56" fillId="4" borderId="5" xfId="374" applyFont="1" applyFill="1" applyBorder="1" applyAlignment="1">
      <alignment horizontal="right"/>
    </xf>
    <xf numFmtId="0" fontId="91" fillId="4" borderId="36" xfId="374" applyFont="1" applyFill="1" applyBorder="1" applyAlignment="1">
      <alignment horizontal="center"/>
    </xf>
    <xf numFmtId="0" fontId="91" fillId="4" borderId="61" xfId="374" applyFont="1" applyFill="1" applyBorder="1" applyAlignment="1">
      <alignment horizontal="center"/>
    </xf>
    <xf numFmtId="0" fontId="91" fillId="4" borderId="38" xfId="374" applyFont="1" applyFill="1" applyBorder="1" applyAlignment="1">
      <alignment horizontal="center"/>
    </xf>
    <xf numFmtId="0" fontId="91" fillId="4" borderId="67" xfId="374" applyFont="1" applyFill="1" applyBorder="1" applyAlignment="1">
      <alignment horizontal="center"/>
    </xf>
    <xf numFmtId="0" fontId="56" fillId="0" borderId="11" xfId="374" applyFont="1" applyBorder="1" applyAlignment="1">
      <alignment horizontal="left"/>
    </xf>
    <xf numFmtId="0" fontId="56" fillId="0" borderId="38" xfId="374" applyFont="1" applyBorder="1" applyAlignment="1">
      <alignment horizontal="left"/>
    </xf>
    <xf numFmtId="0" fontId="56" fillId="32" borderId="5" xfId="0" applyFont="1" applyFill="1" applyBorder="1" applyAlignment="1">
      <alignment horizontal="right"/>
    </xf>
    <xf numFmtId="0" fontId="56" fillId="32" borderId="40" xfId="0" applyFont="1" applyFill="1" applyBorder="1" applyAlignment="1">
      <alignment horizontal="right"/>
    </xf>
    <xf numFmtId="0" fontId="56" fillId="31" borderId="5" xfId="0" applyFont="1" applyFill="1" applyBorder="1" applyAlignment="1">
      <alignment horizontal="right"/>
    </xf>
    <xf numFmtId="0" fontId="56" fillId="31" borderId="6" xfId="0" applyFont="1" applyFill="1" applyBorder="1" applyAlignment="1">
      <alignment horizontal="right"/>
    </xf>
    <xf numFmtId="0" fontId="88" fillId="23" borderId="5" xfId="374" applyFont="1" applyFill="1" applyBorder="1" applyAlignment="1">
      <alignment horizontal="right"/>
    </xf>
    <xf numFmtId="0" fontId="88" fillId="23" borderId="6" xfId="374" applyFont="1" applyFill="1" applyBorder="1" applyAlignment="1">
      <alignment horizontal="right"/>
    </xf>
    <xf numFmtId="0" fontId="0" fillId="4" borderId="2" xfId="0" applyFill="1" applyBorder="1" applyAlignment="1">
      <alignment horizontal="left" vertical="top" wrapText="1"/>
    </xf>
    <xf numFmtId="0" fontId="0" fillId="4" borderId="10" xfId="0" applyFill="1" applyBorder="1" applyAlignment="1">
      <alignment horizontal="left" vertical="top" wrapText="1"/>
    </xf>
    <xf numFmtId="0" fontId="0" fillId="4" borderId="7" xfId="0" applyFill="1" applyBorder="1" applyAlignment="1">
      <alignment horizontal="left" vertical="top" wrapText="1"/>
    </xf>
    <xf numFmtId="0" fontId="0" fillId="4" borderId="34" xfId="0" applyFill="1" applyBorder="1" applyAlignment="1">
      <alignment horizontal="left" vertical="top" wrapText="1"/>
    </xf>
    <xf numFmtId="0" fontId="0" fillId="4" borderId="27" xfId="0" applyFill="1" applyBorder="1" applyAlignment="1">
      <alignment horizontal="left" vertical="top" wrapText="1"/>
    </xf>
    <xf numFmtId="0" fontId="0" fillId="4" borderId="19" xfId="0" applyFill="1" applyBorder="1" applyAlignment="1">
      <alignment horizontal="left" vertical="top" wrapText="1"/>
    </xf>
    <xf numFmtId="0" fontId="0" fillId="3" borderId="4"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6" xfId="0" applyFill="1" applyBorder="1" applyAlignment="1" applyProtection="1">
      <alignment horizontal="left" wrapText="1"/>
      <protection locked="0"/>
    </xf>
    <xf numFmtId="0" fontId="0" fillId="5" borderId="1" xfId="0" applyFill="1" applyBorder="1" applyAlignment="1" applyProtection="1">
      <alignment horizontal="left" wrapText="1"/>
    </xf>
    <xf numFmtId="0" fontId="0" fillId="4" borderId="8" xfId="0" applyFill="1" applyBorder="1" applyAlignment="1">
      <alignment horizontal="center" vertical="center" wrapText="1" shrinkToFit="1"/>
    </xf>
    <xf numFmtId="0" fontId="0" fillId="0" borderId="12" xfId="0" applyBorder="1" applyAlignment="1">
      <alignment horizontal="center" vertical="center" wrapText="1" shrinkToFit="1"/>
    </xf>
    <xf numFmtId="0" fontId="16" fillId="4" borderId="4" xfId="0" applyFont="1" applyFill="1" applyBorder="1" applyAlignment="1">
      <alignment horizontal="center" wrapText="1"/>
    </xf>
    <xf numFmtId="0" fontId="16" fillId="4" borderId="5" xfId="0" applyFont="1" applyFill="1" applyBorder="1" applyAlignment="1">
      <alignment horizontal="center" wrapText="1"/>
    </xf>
    <xf numFmtId="0" fontId="16" fillId="4" borderId="6" xfId="0" applyFont="1" applyFill="1" applyBorder="1" applyAlignment="1">
      <alignment horizontal="center" wrapText="1"/>
    </xf>
    <xf numFmtId="0" fontId="7" fillId="18" borderId="2" xfId="0" applyFont="1" applyFill="1" applyBorder="1" applyAlignment="1">
      <alignment horizontal="left" wrapText="1" shrinkToFit="1"/>
    </xf>
    <xf numFmtId="0" fontId="7" fillId="18" borderId="10" xfId="0" applyFont="1" applyFill="1" applyBorder="1" applyAlignment="1">
      <alignment horizontal="left" wrapText="1" shrinkToFit="1"/>
    </xf>
    <xf numFmtId="0" fontId="7" fillId="18" borderId="7" xfId="0" applyFont="1" applyFill="1" applyBorder="1" applyAlignment="1">
      <alignment horizontal="left" wrapText="1" shrinkToFit="1"/>
    </xf>
    <xf numFmtId="0" fontId="16" fillId="4" borderId="3" xfId="0" applyFont="1" applyFill="1" applyBorder="1" applyAlignment="1" applyProtection="1">
      <alignment horizontal="center" wrapText="1"/>
    </xf>
    <xf numFmtId="0" fontId="16" fillId="4" borderId="0" xfId="0" applyFont="1" applyFill="1" applyBorder="1" applyAlignment="1" applyProtection="1">
      <alignment horizontal="center" wrapText="1"/>
    </xf>
    <xf numFmtId="0" fontId="16" fillId="4" borderId="46" xfId="0" applyFont="1" applyFill="1" applyBorder="1" applyAlignment="1" applyProtection="1">
      <alignment horizontal="center" wrapText="1"/>
    </xf>
    <xf numFmtId="0" fontId="9" fillId="4" borderId="4"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0" fillId="18" borderId="3" xfId="0" applyFont="1" applyFill="1" applyBorder="1" applyAlignment="1">
      <alignment horizontal="left" wrapText="1" shrinkToFit="1"/>
    </xf>
    <xf numFmtId="0" fontId="0" fillId="18" borderId="0" xfId="0" applyFont="1" applyFill="1" applyBorder="1" applyAlignment="1">
      <alignment horizontal="left" wrapText="1" shrinkToFit="1"/>
    </xf>
    <xf numFmtId="0" fontId="0" fillId="18" borderId="46" xfId="0" applyFont="1" applyFill="1" applyBorder="1" applyAlignment="1">
      <alignment horizontal="left" wrapText="1" shrinkToFit="1"/>
    </xf>
    <xf numFmtId="0" fontId="0" fillId="4" borderId="4" xfId="0" applyFont="1" applyFill="1" applyBorder="1" applyAlignment="1">
      <alignment horizontal="left" vertical="center" wrapText="1"/>
    </xf>
    <xf numFmtId="0" fontId="0" fillId="4" borderId="6" xfId="0" applyFont="1" applyFill="1" applyBorder="1" applyAlignment="1">
      <alignment horizontal="left" vertical="center" wrapText="1"/>
    </xf>
    <xf numFmtId="0" fontId="49" fillId="4" borderId="4" xfId="0" applyFont="1" applyFill="1" applyBorder="1" applyAlignment="1">
      <alignment horizontal="center" wrapText="1"/>
    </xf>
    <xf numFmtId="0" fontId="49" fillId="4" borderId="6" xfId="0" applyFont="1" applyFill="1" applyBorder="1" applyAlignment="1">
      <alignment horizontal="center" wrapText="1"/>
    </xf>
    <xf numFmtId="0" fontId="20" fillId="4" borderId="4"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4" fillId="4" borderId="34" xfId="0" applyFont="1" applyFill="1" applyBorder="1" applyAlignment="1">
      <alignment horizontal="left" wrapText="1"/>
    </xf>
    <xf numFmtId="0" fontId="24" fillId="4" borderId="27" xfId="0" applyFont="1" applyFill="1" applyBorder="1" applyAlignment="1">
      <alignment horizontal="left" wrapText="1"/>
    </xf>
    <xf numFmtId="0" fontId="24" fillId="4" borderId="19" xfId="0" applyFont="1" applyFill="1" applyBorder="1" applyAlignment="1">
      <alignment horizontal="left" wrapText="1"/>
    </xf>
    <xf numFmtId="0" fontId="24" fillId="18" borderId="34" xfId="0" applyFont="1" applyFill="1" applyBorder="1" applyAlignment="1">
      <alignment horizontal="left" wrapText="1" shrinkToFit="1"/>
    </xf>
    <xf numFmtId="0" fontId="24" fillId="18" borderId="27" xfId="0" applyFont="1" applyFill="1" applyBorder="1" applyAlignment="1">
      <alignment horizontal="left" wrapText="1" shrinkToFit="1"/>
    </xf>
    <xf numFmtId="0" fontId="24" fillId="18" borderId="19" xfId="0" applyFont="1" applyFill="1" applyBorder="1" applyAlignment="1">
      <alignment horizontal="left" wrapText="1" shrinkToFit="1"/>
    </xf>
    <xf numFmtId="49" fontId="0" fillId="5" borderId="4" xfId="0" applyNumberFormat="1" applyFill="1" applyBorder="1" applyAlignment="1">
      <alignment horizontal="left" wrapText="1"/>
    </xf>
    <xf numFmtId="49" fontId="0" fillId="5" borderId="5" xfId="0" applyNumberFormat="1" applyFill="1" applyBorder="1" applyAlignment="1">
      <alignment horizontal="left" wrapText="1"/>
    </xf>
    <xf numFmtId="49" fontId="0" fillId="5" borderId="6" xfId="0" applyNumberFormat="1" applyFill="1" applyBorder="1" applyAlignment="1">
      <alignment horizontal="left" wrapText="1"/>
    </xf>
    <xf numFmtId="49" fontId="0" fillId="2" borderId="4" xfId="0" applyNumberFormat="1" applyFill="1" applyBorder="1" applyAlignment="1">
      <alignment horizontal="center"/>
    </xf>
    <xf numFmtId="49" fontId="0" fillId="2" borderId="6" xfId="0" applyNumberFormat="1" applyFill="1" applyBorder="1" applyAlignment="1">
      <alignment horizontal="center"/>
    </xf>
    <xf numFmtId="49" fontId="0" fillId="5" borderId="13" xfId="0" applyNumberFormat="1" applyFont="1" applyFill="1" applyBorder="1" applyAlignment="1">
      <alignment horizontal="left"/>
    </xf>
    <xf numFmtId="49" fontId="0" fillId="5" borderId="5" xfId="0" applyNumberFormat="1" applyFont="1" applyFill="1" applyBorder="1" applyAlignment="1">
      <alignment horizontal="left"/>
    </xf>
    <xf numFmtId="49" fontId="0" fillId="5" borderId="6" xfId="0" applyNumberFormat="1" applyFont="1" applyFill="1" applyBorder="1" applyAlignment="1">
      <alignment horizontal="left"/>
    </xf>
    <xf numFmtId="49" fontId="0" fillId="5" borderId="4" xfId="0" applyNumberFormat="1" applyFill="1" applyBorder="1" applyAlignment="1">
      <alignment horizontal="left"/>
    </xf>
    <xf numFmtId="49" fontId="0" fillId="5" borderId="5" xfId="0" applyNumberFormat="1" applyFill="1" applyBorder="1" applyAlignment="1">
      <alignment horizontal="left"/>
    </xf>
    <xf numFmtId="49" fontId="0" fillId="5" borderId="6" xfId="0" applyNumberFormat="1" applyFill="1" applyBorder="1" applyAlignment="1">
      <alignment horizontal="left"/>
    </xf>
    <xf numFmtId="0" fontId="0" fillId="12" borderId="4" xfId="0" applyFill="1" applyBorder="1" applyAlignment="1">
      <alignment horizontal="center"/>
    </xf>
    <xf numFmtId="0" fontId="0" fillId="12" borderId="5" xfId="0" applyFill="1" applyBorder="1" applyAlignment="1">
      <alignment horizontal="center"/>
    </xf>
    <xf numFmtId="0" fontId="0" fillId="12" borderId="6" xfId="0" applyFill="1" applyBorder="1" applyAlignment="1">
      <alignment horizontal="center"/>
    </xf>
    <xf numFmtId="0" fontId="0" fillId="4" borderId="8" xfId="0" applyFill="1" applyBorder="1" applyAlignment="1">
      <alignment horizontal="left" vertical="top" wrapText="1" shrinkToFit="1"/>
    </xf>
    <xf numFmtId="0" fontId="0" fillId="0" borderId="12" xfId="0" applyBorder="1" applyAlignment="1">
      <alignment horizontal="left" vertical="top" wrapText="1" shrinkToFit="1"/>
    </xf>
    <xf numFmtId="0" fontId="0" fillId="4" borderId="35" xfId="0" applyFont="1" applyFill="1" applyBorder="1" applyAlignment="1">
      <alignment horizontal="left" vertical="top" wrapText="1"/>
    </xf>
    <xf numFmtId="0" fontId="0" fillId="4" borderId="12" xfId="0" applyFont="1" applyFill="1" applyBorder="1" applyAlignment="1">
      <alignment horizontal="left" vertical="top" wrapText="1"/>
    </xf>
    <xf numFmtId="0" fontId="12" fillId="10" borderId="8" xfId="0" applyFont="1" applyFill="1" applyBorder="1" applyAlignment="1">
      <alignment horizontal="center" vertical="center"/>
    </xf>
    <xf numFmtId="0" fontId="12" fillId="10" borderId="35" xfId="0" applyFont="1" applyFill="1" applyBorder="1" applyAlignment="1">
      <alignment horizontal="center" vertical="center"/>
    </xf>
    <xf numFmtId="0" fontId="12" fillId="10" borderId="12" xfId="0" applyFont="1" applyFill="1" applyBorder="1" applyAlignment="1">
      <alignment horizontal="center" vertical="center"/>
    </xf>
    <xf numFmtId="0" fontId="16" fillId="4" borderId="2" xfId="0" applyFont="1" applyFill="1" applyBorder="1" applyAlignment="1" applyProtection="1">
      <alignment horizontal="center"/>
    </xf>
    <xf numFmtId="0" fontId="16" fillId="4" borderId="10" xfId="0" applyFont="1" applyFill="1" applyBorder="1" applyAlignment="1" applyProtection="1">
      <alignment horizontal="center"/>
    </xf>
    <xf numFmtId="0" fontId="16" fillId="4" borderId="7" xfId="0" applyFont="1" applyFill="1" applyBorder="1" applyAlignment="1" applyProtection="1">
      <alignment horizontal="center"/>
    </xf>
    <xf numFmtId="0" fontId="97" fillId="4" borderId="3" xfId="0" applyFont="1" applyFill="1" applyBorder="1" applyAlignment="1" applyProtection="1">
      <alignment horizontal="left" wrapText="1"/>
    </xf>
    <xf numFmtId="0" fontId="97" fillId="4" borderId="0" xfId="0" applyFont="1" applyFill="1" applyBorder="1" applyAlignment="1" applyProtection="1">
      <alignment horizontal="left" wrapText="1"/>
    </xf>
    <xf numFmtId="0" fontId="97" fillId="4" borderId="46" xfId="0" applyFont="1" applyFill="1" applyBorder="1" applyAlignment="1" applyProtection="1">
      <alignment horizontal="left" wrapText="1"/>
    </xf>
    <xf numFmtId="0" fontId="0" fillId="4" borderId="3" xfId="0" applyFill="1" applyBorder="1" applyAlignment="1" applyProtection="1">
      <alignment horizontal="left" vertical="top" wrapText="1"/>
    </xf>
    <xf numFmtId="0" fontId="0" fillId="4" borderId="0" xfId="0" applyFill="1" applyBorder="1" applyAlignment="1" applyProtection="1">
      <alignment horizontal="left" vertical="top" wrapText="1"/>
    </xf>
    <xf numFmtId="0" fontId="0" fillId="4" borderId="46" xfId="0" applyFill="1" applyBorder="1" applyAlignment="1" applyProtection="1">
      <alignment horizontal="left" vertical="top" wrapText="1"/>
    </xf>
    <xf numFmtId="0" fontId="0" fillId="4" borderId="4" xfId="0" applyFill="1" applyBorder="1" applyAlignment="1" applyProtection="1">
      <alignment horizontal="left"/>
    </xf>
    <xf numFmtId="0" fontId="0" fillId="4" borderId="5" xfId="0" applyFill="1" applyBorder="1" applyAlignment="1" applyProtection="1">
      <alignment horizontal="left"/>
    </xf>
    <xf numFmtId="0" fontId="0" fillId="4" borderId="6" xfId="0" applyFill="1" applyBorder="1" applyAlignment="1" applyProtection="1">
      <alignment horizontal="left"/>
    </xf>
    <xf numFmtId="49" fontId="0" fillId="5" borderId="1" xfId="0" applyNumberFormat="1" applyFill="1" applyBorder="1" applyAlignment="1" applyProtection="1">
      <alignment horizontal="left"/>
      <protection locked="0"/>
    </xf>
    <xf numFmtId="49" fontId="0" fillId="3" borderId="1" xfId="0" applyNumberFormat="1" applyFill="1" applyBorder="1" applyAlignment="1" applyProtection="1">
      <alignment horizontal="left"/>
      <protection locked="0"/>
    </xf>
    <xf numFmtId="4" fontId="0" fillId="3" borderId="1" xfId="0" applyNumberFormat="1" applyFill="1" applyBorder="1" applyAlignment="1" applyProtection="1">
      <alignment horizontal="left"/>
      <protection locked="0"/>
    </xf>
    <xf numFmtId="49" fontId="0" fillId="5" borderId="4" xfId="0" applyNumberFormat="1" applyFill="1" applyBorder="1" applyAlignment="1" applyProtection="1">
      <alignment horizontal="left" wrapText="1"/>
    </xf>
    <xf numFmtId="49" fontId="0" fillId="5" borderId="5" xfId="0" applyNumberFormat="1" applyFill="1" applyBorder="1" applyAlignment="1" applyProtection="1">
      <alignment horizontal="left" wrapText="1"/>
    </xf>
    <xf numFmtId="49" fontId="0" fillId="5" borderId="6" xfId="0" applyNumberFormat="1" applyFill="1" applyBorder="1" applyAlignment="1" applyProtection="1">
      <alignment horizontal="left" wrapText="1"/>
    </xf>
    <xf numFmtId="0" fontId="75" fillId="21" borderId="34" xfId="0" applyFont="1" applyFill="1" applyBorder="1" applyAlignment="1">
      <alignment horizontal="center" wrapText="1" shrinkToFit="1"/>
    </xf>
    <xf numFmtId="0" fontId="75" fillId="21" borderId="27" xfId="0" applyFont="1" applyFill="1" applyBorder="1" applyAlignment="1">
      <alignment horizontal="center" wrapText="1" shrinkToFit="1"/>
    </xf>
    <xf numFmtId="0" fontId="75" fillId="21" borderId="19" xfId="0" applyFont="1" applyFill="1" applyBorder="1" applyAlignment="1">
      <alignment horizontal="center" wrapText="1" shrinkToFit="1"/>
    </xf>
    <xf numFmtId="0" fontId="12" fillId="10" borderId="2"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34" xfId="0" applyFont="1" applyFill="1" applyBorder="1" applyAlignment="1">
      <alignment horizontal="center" vertical="center"/>
    </xf>
    <xf numFmtId="0" fontId="0" fillId="3" borderId="1" xfId="0" applyFill="1" applyBorder="1" applyAlignment="1" applyProtection="1">
      <alignment horizontal="left" wrapText="1"/>
      <protection locked="0"/>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1" fillId="3" borderId="1" xfId="0" applyFont="1" applyFill="1" applyBorder="1" applyAlignment="1" applyProtection="1">
      <alignment horizontal="left" wrapText="1"/>
      <protection locked="0"/>
    </xf>
    <xf numFmtId="0" fontId="14" fillId="8" borderId="4" xfId="0" applyFont="1" applyFill="1" applyBorder="1" applyAlignment="1" applyProtection="1">
      <alignment horizontal="left" vertical="center"/>
      <protection locked="0"/>
    </xf>
    <xf numFmtId="0" fontId="14" fillId="8" borderId="5" xfId="0" applyFont="1" applyFill="1" applyBorder="1" applyAlignment="1" applyProtection="1">
      <alignment horizontal="left" vertical="center"/>
      <protection locked="0"/>
    </xf>
    <xf numFmtId="0" fontId="14" fillId="8" borderId="6" xfId="0" applyFont="1" applyFill="1" applyBorder="1" applyAlignment="1" applyProtection="1">
      <alignment horizontal="left" vertical="center"/>
      <protection locked="0"/>
    </xf>
    <xf numFmtId="0" fontId="26" fillId="8" borderId="4" xfId="0" applyFont="1" applyFill="1" applyBorder="1" applyAlignment="1" applyProtection="1">
      <alignment horizontal="left" vertical="center" wrapText="1"/>
      <protection locked="0"/>
    </xf>
    <xf numFmtId="0" fontId="26" fillId="8" borderId="5" xfId="0" applyFont="1" applyFill="1" applyBorder="1" applyAlignment="1" applyProtection="1">
      <alignment horizontal="left" vertical="center" wrapText="1"/>
      <protection locked="0"/>
    </xf>
    <xf numFmtId="0" fontId="26" fillId="8" borderId="47" xfId="0" applyFont="1" applyFill="1" applyBorder="1" applyAlignment="1" applyProtection="1">
      <alignment horizontal="left" vertical="center" wrapText="1"/>
      <protection locked="0"/>
    </xf>
    <xf numFmtId="0" fontId="0" fillId="5" borderId="4"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left" vertical="center"/>
      <protection locked="0"/>
    </xf>
    <xf numFmtId="0" fontId="0" fillId="5" borderId="19" xfId="0" applyFont="1" applyFill="1" applyBorder="1" applyAlignment="1" applyProtection="1">
      <alignment horizontal="left" vertical="center"/>
      <protection locked="0"/>
    </xf>
    <xf numFmtId="0" fontId="0" fillId="4" borderId="34" xfId="0" applyFill="1" applyBorder="1" applyAlignment="1" applyProtection="1">
      <alignment horizontal="left" vertical="top" wrapText="1"/>
    </xf>
    <xf numFmtId="0" fontId="0" fillId="4" borderId="27" xfId="0" applyFill="1" applyBorder="1" applyAlignment="1" applyProtection="1">
      <alignment horizontal="left" vertical="top" wrapText="1"/>
    </xf>
    <xf numFmtId="0" fontId="0" fillId="4" borderId="19" xfId="0" applyFill="1" applyBorder="1" applyAlignment="1" applyProtection="1">
      <alignment horizontal="left" vertical="top" wrapText="1"/>
    </xf>
    <xf numFmtId="0" fontId="0" fillId="3" borderId="1"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49" fontId="0" fillId="5" borderId="4" xfId="0" applyNumberFormat="1" applyFill="1" applyBorder="1" applyAlignment="1" applyProtection="1">
      <alignment horizontal="left"/>
    </xf>
    <xf numFmtId="49" fontId="0" fillId="5" borderId="5" xfId="0" applyNumberFormat="1" applyFill="1" applyBorder="1" applyAlignment="1" applyProtection="1">
      <alignment horizontal="left"/>
    </xf>
    <xf numFmtId="49" fontId="0" fillId="5" borderId="6" xfId="0" applyNumberFormat="1" applyFill="1" applyBorder="1" applyAlignment="1" applyProtection="1">
      <alignment horizontal="left"/>
    </xf>
    <xf numFmtId="0" fontId="76" fillId="0" borderId="3" xfId="0" applyFont="1" applyBorder="1" applyAlignment="1">
      <alignment horizontal="left"/>
    </xf>
    <xf numFmtId="0" fontId="76" fillId="0" borderId="0" xfId="0" applyFont="1" applyAlignment="1">
      <alignment horizontal="left"/>
    </xf>
    <xf numFmtId="0" fontId="77" fillId="0" borderId="3" xfId="0" applyFont="1" applyBorder="1" applyAlignment="1">
      <alignment horizontal="left" vertical="center"/>
    </xf>
    <xf numFmtId="0" fontId="77" fillId="0" borderId="0" xfId="0" applyFont="1" applyBorder="1" applyAlignment="1">
      <alignment horizontal="left" vertical="center"/>
    </xf>
    <xf numFmtId="0" fontId="0" fillId="3" borderId="4"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0" fillId="4" borderId="8" xfId="0" applyFill="1" applyBorder="1" applyAlignment="1">
      <alignment horizontal="left" vertical="top" wrapText="1"/>
    </xf>
    <xf numFmtId="0" fontId="0" fillId="0" borderId="12" xfId="0" applyBorder="1" applyAlignment="1">
      <alignment horizontal="left" vertical="top" wrapText="1"/>
    </xf>
    <xf numFmtId="0" fontId="0" fillId="4" borderId="35" xfId="0" applyFont="1" applyFill="1" applyBorder="1" applyAlignment="1">
      <alignment horizontal="center" vertical="top" wrapText="1"/>
    </xf>
    <xf numFmtId="0" fontId="0" fillId="4" borderId="12" xfId="0" applyFont="1" applyFill="1" applyBorder="1" applyAlignment="1">
      <alignment horizontal="center" vertical="top" wrapText="1"/>
    </xf>
    <xf numFmtId="0" fontId="72" fillId="21" borderId="3" xfId="0" applyFont="1" applyFill="1" applyBorder="1" applyAlignment="1">
      <alignment horizontal="left" wrapText="1" shrinkToFit="1"/>
    </xf>
    <xf numFmtId="0" fontId="72" fillId="21" borderId="0" xfId="0" applyFont="1" applyFill="1" applyBorder="1" applyAlignment="1">
      <alignment horizontal="left" wrapText="1" shrinkToFit="1"/>
    </xf>
    <xf numFmtId="0" fontId="72" fillId="21" borderId="46" xfId="0" applyFont="1" applyFill="1" applyBorder="1" applyAlignment="1">
      <alignment horizontal="left" wrapText="1" shrinkToFit="1"/>
    </xf>
    <xf numFmtId="0" fontId="14" fillId="21" borderId="3" xfId="0" applyFont="1" applyFill="1" applyBorder="1" applyAlignment="1">
      <alignment horizontal="left" wrapText="1" shrinkToFit="1"/>
    </xf>
    <xf numFmtId="0" fontId="14" fillId="21" borderId="0" xfId="0" applyFont="1" applyFill="1" applyBorder="1" applyAlignment="1">
      <alignment horizontal="left" wrapText="1" shrinkToFit="1"/>
    </xf>
    <xf numFmtId="0" fontId="14" fillId="21" borderId="46" xfId="0" applyFont="1" applyFill="1" applyBorder="1" applyAlignment="1">
      <alignment horizontal="left" wrapText="1" shrinkToFit="1"/>
    </xf>
    <xf numFmtId="0" fontId="15" fillId="4" borderId="4" xfId="0" applyFont="1" applyFill="1" applyBorder="1" applyAlignment="1">
      <alignment horizontal="center" wrapText="1"/>
    </xf>
    <xf numFmtId="0" fontId="15" fillId="4" borderId="6" xfId="0" applyFont="1" applyFill="1" applyBorder="1" applyAlignment="1">
      <alignment horizontal="center" wrapText="1"/>
    </xf>
    <xf numFmtId="0" fontId="0" fillId="4" borderId="2" xfId="0" applyFill="1" applyBorder="1" applyAlignment="1">
      <alignment horizontal="left" vertical="center" wrapText="1"/>
    </xf>
    <xf numFmtId="0" fontId="0" fillId="4" borderId="10" xfId="0" applyFill="1" applyBorder="1" applyAlignment="1">
      <alignment horizontal="left" vertical="center" wrapText="1"/>
    </xf>
    <xf numFmtId="0" fontId="0" fillId="4" borderId="7" xfId="0" applyFill="1" applyBorder="1" applyAlignment="1">
      <alignment horizontal="left" vertical="center" wrapText="1"/>
    </xf>
    <xf numFmtId="0" fontId="0" fillId="4" borderId="34" xfId="0" applyFill="1" applyBorder="1" applyAlignment="1">
      <alignment horizontal="left" vertical="center" wrapText="1"/>
    </xf>
    <xf numFmtId="0" fontId="0" fillId="4" borderId="27" xfId="0" applyFill="1" applyBorder="1" applyAlignment="1">
      <alignment horizontal="left" vertical="center" wrapText="1"/>
    </xf>
    <xf numFmtId="0" fontId="0" fillId="4" borderId="19" xfId="0" applyFill="1" applyBorder="1" applyAlignment="1">
      <alignment horizontal="left" vertical="center" wrapText="1"/>
    </xf>
    <xf numFmtId="2" fontId="0" fillId="5" borderId="4" xfId="0" applyNumberFormat="1" applyFill="1" applyBorder="1" applyAlignment="1">
      <alignment horizontal="center"/>
    </xf>
    <xf numFmtId="2" fontId="0" fillId="5" borderId="5" xfId="0" applyNumberFormat="1" applyFill="1" applyBorder="1" applyAlignment="1">
      <alignment horizontal="center"/>
    </xf>
    <xf numFmtId="2" fontId="0" fillId="5" borderId="6" xfId="0" applyNumberFormat="1" applyFill="1" applyBorder="1" applyAlignment="1">
      <alignment horizontal="center"/>
    </xf>
    <xf numFmtId="49" fontId="0" fillId="13" borderId="34" xfId="0" applyNumberFormat="1" applyFill="1" applyBorder="1" applyAlignment="1">
      <alignment horizontal="center" wrapText="1"/>
    </xf>
    <xf numFmtId="49" fontId="0" fillId="13" borderId="27" xfId="0" applyNumberFormat="1" applyFill="1" applyBorder="1" applyAlignment="1">
      <alignment horizontal="center" wrapText="1"/>
    </xf>
    <xf numFmtId="49" fontId="0" fillId="13" borderId="19" xfId="0" applyNumberFormat="1" applyFill="1" applyBorder="1" applyAlignment="1">
      <alignment horizontal="center" wrapText="1"/>
    </xf>
    <xf numFmtId="49" fontId="0" fillId="13" borderId="3" xfId="0" applyNumberFormat="1" applyFill="1" applyBorder="1" applyAlignment="1">
      <alignment horizontal="center" wrapText="1"/>
    </xf>
    <xf numFmtId="49" fontId="0" fillId="13" borderId="0" xfId="0" applyNumberFormat="1" applyFill="1" applyBorder="1" applyAlignment="1">
      <alignment horizontal="center" wrapText="1"/>
    </xf>
    <xf numFmtId="49" fontId="0" fillId="13" borderId="46" xfId="0" applyNumberFormat="1" applyFill="1" applyBorder="1" applyAlignment="1">
      <alignment horizontal="center" wrapText="1"/>
    </xf>
    <xf numFmtId="49" fontId="6" fillId="4" borderId="4" xfId="0" applyNumberFormat="1" applyFont="1" applyFill="1" applyBorder="1" applyAlignment="1">
      <alignment horizontal="center" wrapText="1"/>
    </xf>
    <xf numFmtId="49" fontId="6" fillId="4" borderId="5" xfId="0" applyNumberFormat="1" applyFont="1" applyFill="1" applyBorder="1" applyAlignment="1">
      <alignment horizontal="center" wrapText="1"/>
    </xf>
    <xf numFmtId="49" fontId="6" fillId="4" borderId="6" xfId="0" applyNumberFormat="1" applyFont="1" applyFill="1" applyBorder="1" applyAlignment="1">
      <alignment horizontal="center" wrapText="1"/>
    </xf>
    <xf numFmtId="49" fontId="0" fillId="4" borderId="4" xfId="0" applyNumberFormat="1" applyFill="1" applyBorder="1" applyAlignment="1">
      <alignment horizontal="left" wrapText="1"/>
    </xf>
    <xf numFmtId="49" fontId="0" fillId="4" borderId="5" xfId="0" applyNumberFormat="1" applyFill="1" applyBorder="1" applyAlignment="1">
      <alignment horizontal="left" wrapText="1"/>
    </xf>
    <xf numFmtId="49" fontId="0" fillId="4" borderId="6" xfId="0" applyNumberFormat="1" applyFill="1" applyBorder="1" applyAlignment="1">
      <alignment horizontal="left" wrapText="1"/>
    </xf>
    <xf numFmtId="49" fontId="0" fillId="11" borderId="4" xfId="0" applyNumberFormat="1" applyFill="1" applyBorder="1" applyAlignment="1">
      <alignment horizontal="left" wrapText="1"/>
    </xf>
    <xf numFmtId="49" fontId="0" fillId="11" borderId="5" xfId="0" applyNumberFormat="1" applyFill="1" applyBorder="1" applyAlignment="1">
      <alignment horizontal="left" wrapText="1"/>
    </xf>
    <xf numFmtId="49" fontId="0" fillId="11" borderId="6" xfId="0" applyNumberFormat="1" applyFill="1" applyBorder="1" applyAlignment="1">
      <alignment horizontal="left" wrapText="1"/>
    </xf>
    <xf numFmtId="49" fontId="0" fillId="2" borderId="5" xfId="0" applyNumberFormat="1" applyFont="1" applyFill="1" applyBorder="1" applyAlignment="1">
      <alignment horizontal="center" wrapText="1"/>
    </xf>
    <xf numFmtId="49" fontId="0" fillId="2" borderId="6" xfId="0" applyNumberFormat="1" applyFont="1" applyFill="1" applyBorder="1" applyAlignment="1">
      <alignment horizontal="center" wrapText="1"/>
    </xf>
    <xf numFmtId="49" fontId="0" fillId="5" borderId="5" xfId="0" applyNumberFormat="1" applyFill="1" applyBorder="1" applyAlignment="1">
      <alignment horizontal="center" wrapText="1"/>
    </xf>
    <xf numFmtId="49" fontId="0" fillId="5" borderId="6" xfId="0" applyNumberFormat="1" applyFill="1" applyBorder="1" applyAlignment="1">
      <alignment horizontal="center" wrapText="1"/>
    </xf>
    <xf numFmtId="49" fontId="51" fillId="2" borderId="23" xfId="0" applyNumberFormat="1" applyFont="1" applyFill="1" applyBorder="1" applyAlignment="1">
      <alignment horizontal="center" wrapText="1"/>
    </xf>
    <xf numFmtId="49" fontId="51" fillId="2" borderId="24" xfId="0" applyNumberFormat="1" applyFont="1" applyFill="1" applyBorder="1" applyAlignment="1">
      <alignment horizontal="center" wrapText="1"/>
    </xf>
    <xf numFmtId="49" fontId="51" fillId="2" borderId="28" xfId="0" applyNumberFormat="1" applyFont="1" applyFill="1" applyBorder="1" applyAlignment="1">
      <alignment horizontal="center" wrapText="1"/>
    </xf>
    <xf numFmtId="49" fontId="0" fillId="2" borderId="1" xfId="0" applyNumberFormat="1" applyFill="1" applyBorder="1" applyAlignment="1">
      <alignment horizontal="center"/>
    </xf>
    <xf numFmtId="4" fontId="21" fillId="2" borderId="4" xfId="0" applyNumberFormat="1" applyFont="1" applyFill="1" applyBorder="1" applyAlignment="1">
      <alignment horizontal="center" wrapText="1"/>
    </xf>
    <xf numFmtId="4" fontId="21" fillId="2" borderId="6" xfId="0" applyNumberFormat="1" applyFont="1" applyFill="1" applyBorder="1" applyAlignment="1">
      <alignment horizontal="center" wrapText="1"/>
    </xf>
    <xf numFmtId="1" fontId="0" fillId="4" borderId="4" xfId="0" applyNumberFormat="1" applyFill="1" applyBorder="1" applyAlignment="1">
      <alignment horizontal="center" wrapText="1"/>
    </xf>
    <xf numFmtId="1" fontId="0" fillId="4" borderId="6" xfId="0" applyNumberFormat="1" applyFill="1" applyBorder="1" applyAlignment="1">
      <alignment horizontal="center" wrapText="1"/>
    </xf>
    <xf numFmtId="0" fontId="50" fillId="4" borderId="2" xfId="0" applyFont="1" applyFill="1" applyBorder="1" applyAlignment="1">
      <alignment horizontal="center" wrapText="1"/>
    </xf>
    <xf numFmtId="0" fontId="50" fillId="4" borderId="10" xfId="0" applyFont="1" applyFill="1" applyBorder="1" applyAlignment="1">
      <alignment horizontal="center" wrapText="1"/>
    </xf>
    <xf numFmtId="0" fontId="50" fillId="4" borderId="7" xfId="0" applyFont="1" applyFill="1" applyBorder="1" applyAlignment="1">
      <alignment horizontal="center" wrapText="1"/>
    </xf>
    <xf numFmtId="0" fontId="50" fillId="4" borderId="34" xfId="0" applyFont="1" applyFill="1" applyBorder="1" applyAlignment="1">
      <alignment horizontal="center" wrapText="1"/>
    </xf>
    <xf numFmtId="0" fontId="50" fillId="4" borderId="27" xfId="0" applyFont="1" applyFill="1" applyBorder="1" applyAlignment="1">
      <alignment horizontal="center" wrapText="1"/>
    </xf>
    <xf numFmtId="0" fontId="50" fillId="4" borderId="19" xfId="0" applyFont="1" applyFill="1" applyBorder="1" applyAlignment="1">
      <alignment horizontal="center" wrapText="1"/>
    </xf>
    <xf numFmtId="0" fontId="0" fillId="4" borderId="2" xfId="0" applyFill="1" applyBorder="1" applyAlignment="1">
      <alignment horizontal="left" wrapText="1"/>
    </xf>
    <xf numFmtId="0" fontId="0" fillId="4" borderId="10" xfId="0" applyFill="1" applyBorder="1" applyAlignment="1">
      <alignment horizontal="left" wrapText="1"/>
    </xf>
    <xf numFmtId="0" fontId="0" fillId="4" borderId="7" xfId="0" applyFill="1" applyBorder="1" applyAlignment="1">
      <alignment horizontal="left"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7" xfId="0" applyFill="1" applyBorder="1" applyAlignment="1">
      <alignment horizontal="center" vertical="center" wrapText="1"/>
    </xf>
    <xf numFmtId="0" fontId="0" fillId="4" borderId="34"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19" xfId="0" applyFill="1" applyBorder="1" applyAlignment="1">
      <alignment horizontal="center" vertical="center" wrapText="1"/>
    </xf>
    <xf numFmtId="0" fontId="0" fillId="5" borderId="2" xfId="0" applyFont="1" applyFill="1" applyBorder="1" applyAlignment="1">
      <alignment horizontal="left" vertical="center"/>
    </xf>
    <xf numFmtId="0" fontId="0" fillId="5" borderId="10" xfId="0" applyFont="1" applyFill="1" applyBorder="1" applyAlignment="1">
      <alignment horizontal="left" vertical="center"/>
    </xf>
    <xf numFmtId="0" fontId="0" fillId="5" borderId="7" xfId="0" applyFont="1" applyFill="1" applyBorder="1" applyAlignment="1">
      <alignment horizontal="left" vertical="center"/>
    </xf>
    <xf numFmtId="0" fontId="0" fillId="4" borderId="3"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46" xfId="0" applyFont="1" applyFill="1" applyBorder="1" applyAlignment="1">
      <alignment horizontal="left" vertical="center" wrapText="1"/>
    </xf>
    <xf numFmtId="0" fontId="0" fillId="4" borderId="34"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16" fillId="4" borderId="2"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7" xfId="0" applyFont="1" applyFill="1" applyBorder="1" applyAlignment="1">
      <alignment horizontal="center" vertical="center"/>
    </xf>
    <xf numFmtId="0" fontId="0" fillId="3"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left" vertical="center" wrapText="1"/>
      <protection locked="0"/>
    </xf>
    <xf numFmtId="0" fontId="0" fillId="3" borderId="6" xfId="0" applyFont="1" applyFill="1" applyBorder="1" applyAlignment="1" applyProtection="1">
      <alignment horizontal="left" vertical="center" wrapText="1"/>
      <protection locked="0"/>
    </xf>
    <xf numFmtId="0" fontId="0" fillId="3" borderId="34" xfId="0" applyFont="1" applyFill="1" applyBorder="1" applyAlignment="1" applyProtection="1">
      <alignment horizontal="left" vertical="center" wrapText="1"/>
      <protection locked="0"/>
    </xf>
    <xf numFmtId="0" fontId="0" fillId="3" borderId="27" xfId="0" applyFont="1" applyFill="1" applyBorder="1" applyAlignment="1" applyProtection="1">
      <alignment horizontal="left" vertical="center" wrapText="1"/>
      <protection locked="0"/>
    </xf>
    <xf numFmtId="0" fontId="0" fillId="3" borderId="19" xfId="0" applyFont="1" applyFill="1" applyBorder="1" applyAlignment="1" applyProtection="1">
      <alignment horizontal="left" vertical="center" wrapText="1"/>
      <protection locked="0"/>
    </xf>
    <xf numFmtId="0" fontId="1" fillId="4" borderId="3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4" fillId="8" borderId="4" xfId="0" applyFont="1" applyFill="1" applyBorder="1" applyAlignment="1" applyProtection="1">
      <alignment horizontal="left" vertical="center" wrapText="1"/>
      <protection locked="0"/>
    </xf>
    <xf numFmtId="0" fontId="14" fillId="8" borderId="5" xfId="0" applyFont="1" applyFill="1" applyBorder="1" applyAlignment="1" applyProtection="1">
      <alignment horizontal="left" vertical="center" wrapText="1"/>
      <protection locked="0"/>
    </xf>
    <xf numFmtId="0" fontId="14" fillId="8" borderId="6" xfId="0" applyFont="1" applyFill="1" applyBorder="1" applyAlignment="1" applyProtection="1">
      <alignment horizontal="left" vertical="center" wrapText="1"/>
      <protection locked="0"/>
    </xf>
    <xf numFmtId="0" fontId="0" fillId="3" borderId="12" xfId="0" applyFont="1" applyFill="1" applyBorder="1" applyAlignment="1" applyProtection="1">
      <alignment horizontal="left" vertical="center" wrapText="1"/>
      <protection locked="0"/>
    </xf>
    <xf numFmtId="2" fontId="20" fillId="5" borderId="34" xfId="0" applyNumberFormat="1" applyFont="1" applyFill="1" applyBorder="1" applyAlignment="1">
      <alignment horizontal="center" wrapText="1"/>
    </xf>
    <xf numFmtId="2" fontId="20" fillId="5" borderId="27" xfId="0" applyNumberFormat="1" applyFont="1" applyFill="1" applyBorder="1" applyAlignment="1">
      <alignment horizontal="center" wrapText="1"/>
    </xf>
    <xf numFmtId="2" fontId="20" fillId="5" borderId="19" xfId="0" applyNumberFormat="1" applyFont="1" applyFill="1" applyBorder="1" applyAlignment="1">
      <alignment horizontal="center" wrapText="1"/>
    </xf>
    <xf numFmtId="2" fontId="0" fillId="5" borderId="8" xfId="0" applyNumberFormat="1" applyFill="1" applyBorder="1" applyAlignment="1">
      <alignment horizontal="center" vertical="center" wrapText="1"/>
    </xf>
    <xf numFmtId="2" fontId="0" fillId="5" borderId="35" xfId="0" applyNumberFormat="1" applyFill="1" applyBorder="1" applyAlignment="1">
      <alignment horizontal="center" vertical="center" wrapText="1"/>
    </xf>
    <xf numFmtId="2" fontId="0" fillId="5" borderId="12" xfId="0" applyNumberFormat="1" applyFill="1" applyBorder="1" applyAlignment="1">
      <alignment horizontal="center" vertical="center" wrapText="1"/>
    </xf>
    <xf numFmtId="49" fontId="0" fillId="3" borderId="4" xfId="0" applyNumberFormat="1" applyFont="1" applyFill="1" applyBorder="1" applyAlignment="1" applyProtection="1">
      <alignment horizontal="left" vertical="center" wrapText="1"/>
      <protection locked="0"/>
    </xf>
    <xf numFmtId="49" fontId="0" fillId="3" borderId="6" xfId="0" applyNumberFormat="1" applyFont="1" applyFill="1" applyBorder="1" applyAlignment="1" applyProtection="1">
      <alignment horizontal="left" vertical="center" wrapText="1"/>
      <protection locked="0"/>
    </xf>
    <xf numFmtId="2" fontId="0" fillId="5" borderId="2" xfId="0" applyNumberFormat="1" applyFill="1" applyBorder="1" applyAlignment="1">
      <alignment horizontal="center" wrapText="1"/>
    </xf>
    <xf numFmtId="2" fontId="0" fillId="5" borderId="10" xfId="0" applyNumberFormat="1" applyFill="1" applyBorder="1" applyAlignment="1">
      <alignment horizontal="center" wrapText="1"/>
    </xf>
    <xf numFmtId="2" fontId="0" fillId="5" borderId="7" xfId="0" applyNumberFormat="1" applyFill="1" applyBorder="1" applyAlignment="1">
      <alignment horizontal="center" wrapText="1"/>
    </xf>
    <xf numFmtId="0" fontId="0" fillId="5" borderId="8" xfId="0" applyFill="1" applyBorder="1" applyAlignment="1">
      <alignment horizontal="center" vertical="center"/>
    </xf>
    <xf numFmtId="0" fontId="0" fillId="5" borderId="35" xfId="0" applyFill="1" applyBorder="1" applyAlignment="1">
      <alignment horizontal="center" vertical="center"/>
    </xf>
    <xf numFmtId="0" fontId="0" fillId="5" borderId="12" xfId="0" applyFill="1" applyBorder="1" applyAlignment="1">
      <alignment horizontal="center" vertical="center"/>
    </xf>
    <xf numFmtId="0" fontId="0" fillId="4" borderId="1" xfId="0" applyFont="1" applyFill="1" applyBorder="1" applyAlignment="1">
      <alignment horizontal="left" vertical="center" wrapText="1"/>
    </xf>
    <xf numFmtId="0" fontId="0" fillId="5" borderId="4" xfId="0" applyFill="1" applyBorder="1" applyAlignment="1">
      <alignment horizontal="right"/>
    </xf>
    <xf numFmtId="0" fontId="0" fillId="5" borderId="6" xfId="0" applyFill="1" applyBorder="1" applyAlignment="1">
      <alignment horizontal="right"/>
    </xf>
    <xf numFmtId="0" fontId="6" fillId="4" borderId="2"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19" xfId="0" applyFont="1" applyFill="1" applyBorder="1" applyAlignment="1">
      <alignment horizontal="center" vertical="center"/>
    </xf>
    <xf numFmtId="0" fontId="16" fillId="4" borderId="4" xfId="0" applyFont="1" applyFill="1" applyBorder="1" applyAlignment="1">
      <alignment horizontal="center"/>
    </xf>
    <xf numFmtId="0" fontId="16" fillId="4" borderId="5" xfId="0" applyFont="1" applyFill="1" applyBorder="1" applyAlignment="1">
      <alignment horizontal="center"/>
    </xf>
    <xf numFmtId="0" fontId="16" fillId="4" borderId="6" xfId="0" applyFont="1" applyFill="1" applyBorder="1" applyAlignment="1">
      <alignment horizontal="center"/>
    </xf>
    <xf numFmtId="1" fontId="0" fillId="5" borderId="4" xfId="0" applyNumberFormat="1" applyFill="1" applyBorder="1" applyAlignment="1">
      <alignment horizontal="right"/>
    </xf>
    <xf numFmtId="1" fontId="0" fillId="5" borderId="6" xfId="0" applyNumberFormat="1" applyFill="1" applyBorder="1" applyAlignment="1">
      <alignment horizontal="right"/>
    </xf>
    <xf numFmtId="4" fontId="0" fillId="5" borderId="4" xfId="0" applyNumberFormat="1" applyFill="1" applyBorder="1" applyAlignment="1">
      <alignment horizontal="right"/>
    </xf>
    <xf numFmtId="4" fontId="0" fillId="5" borderId="6" xfId="0" applyNumberFormat="1" applyFill="1" applyBorder="1" applyAlignment="1">
      <alignment horizontal="right"/>
    </xf>
    <xf numFmtId="0" fontId="9" fillId="4" borderId="1" xfId="0" applyFont="1" applyFill="1" applyBorder="1" applyAlignment="1">
      <alignment horizontal="center"/>
    </xf>
    <xf numFmtId="177" fontId="22" fillId="3" borderId="1" xfId="0" applyNumberFormat="1" applyFont="1" applyFill="1" applyBorder="1" applyAlignment="1" applyProtection="1">
      <alignment horizontal="center"/>
      <protection locked="0"/>
    </xf>
    <xf numFmtId="0" fontId="0" fillId="4" borderId="4" xfId="0" applyFont="1" applyFill="1" applyBorder="1" applyAlignment="1">
      <alignment horizontal="center"/>
    </xf>
    <xf numFmtId="0" fontId="0" fillId="4" borderId="6" xfId="0" applyFont="1" applyFill="1" applyBorder="1" applyAlignment="1">
      <alignment horizontal="center"/>
    </xf>
    <xf numFmtId="2" fontId="0" fillId="11" borderId="42" xfId="0" applyNumberFormat="1" applyFill="1" applyBorder="1" applyAlignment="1">
      <alignment horizontal="center"/>
    </xf>
    <xf numFmtId="2" fontId="0" fillId="11" borderId="32" xfId="0" applyNumberFormat="1" applyFill="1" applyBorder="1" applyAlignment="1">
      <alignment horizontal="center"/>
    </xf>
    <xf numFmtId="0" fontId="0" fillId="2" borderId="11" xfId="0" applyFill="1" applyBorder="1" applyAlignment="1">
      <alignment horizontal="center"/>
    </xf>
    <xf numFmtId="0" fontId="0" fillId="2" borderId="39" xfId="0" applyFill="1" applyBorder="1" applyAlignment="1">
      <alignment horizontal="center"/>
    </xf>
    <xf numFmtId="0" fontId="0" fillId="5" borderId="34" xfId="0" applyFont="1" applyFill="1" applyBorder="1" applyAlignment="1">
      <alignment horizontal="left" vertical="center" wrapText="1"/>
    </xf>
    <xf numFmtId="0" fontId="0" fillId="5" borderId="27"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4" xfId="0" applyFont="1" applyFill="1" applyBorder="1" applyAlignment="1">
      <alignment horizontal="left"/>
    </xf>
    <xf numFmtId="0" fontId="0" fillId="5" borderId="5" xfId="0" applyFont="1" applyFill="1" applyBorder="1" applyAlignment="1">
      <alignment horizontal="left"/>
    </xf>
    <xf numFmtId="0" fontId="0" fillId="5" borderId="6" xfId="0" applyFont="1" applyFill="1" applyBorder="1" applyAlignment="1">
      <alignment horizontal="left"/>
    </xf>
    <xf numFmtId="49" fontId="0" fillId="5" borderId="2" xfId="0" applyNumberFormat="1" applyFill="1" applyBorder="1" applyAlignment="1">
      <alignment horizontal="left" wrapText="1"/>
    </xf>
    <xf numFmtId="49" fontId="0" fillId="5" borderId="10" xfId="0" applyNumberFormat="1" applyFill="1" applyBorder="1" applyAlignment="1">
      <alignment horizontal="left" wrapText="1"/>
    </xf>
    <xf numFmtId="49" fontId="0" fillId="5" borderId="7" xfId="0" applyNumberFormat="1" applyFill="1" applyBorder="1" applyAlignment="1">
      <alignment horizontal="left" wrapText="1"/>
    </xf>
    <xf numFmtId="0" fontId="12" fillId="10" borderId="1" xfId="0" applyFont="1" applyFill="1" applyBorder="1" applyAlignment="1">
      <alignment horizontal="center" vertical="center"/>
    </xf>
    <xf numFmtId="0" fontId="19" fillId="0" borderId="3" xfId="0" applyFont="1" applyBorder="1" applyAlignment="1">
      <alignment horizontal="center"/>
    </xf>
    <xf numFmtId="0" fontId="19" fillId="0" borderId="0" xfId="0" applyFont="1" applyBorder="1" applyAlignment="1">
      <alignment horizontal="center"/>
    </xf>
    <xf numFmtId="49" fontId="0" fillId="2" borderId="4" xfId="0" applyNumberFormat="1" applyFont="1" applyFill="1" applyBorder="1" applyAlignment="1">
      <alignment horizontal="left" wrapText="1"/>
    </xf>
    <xf numFmtId="49" fontId="0" fillId="2" borderId="5" xfId="0" applyNumberFormat="1" applyFont="1" applyFill="1" applyBorder="1" applyAlignment="1">
      <alignment horizontal="left" wrapText="1"/>
    </xf>
    <xf numFmtId="0" fontId="0" fillId="5" borderId="4" xfId="0" applyFill="1" applyBorder="1" applyAlignment="1">
      <alignment horizontal="left" wrapText="1"/>
    </xf>
    <xf numFmtId="0" fontId="0" fillId="5" borderId="5" xfId="0" applyFill="1" applyBorder="1" applyAlignment="1">
      <alignment horizontal="left" wrapText="1"/>
    </xf>
    <xf numFmtId="0" fontId="0" fillId="5" borderId="6" xfId="0" applyFill="1" applyBorder="1" applyAlignment="1">
      <alignment horizontal="left" wrapText="1"/>
    </xf>
    <xf numFmtId="0" fontId="0" fillId="4" borderId="8" xfId="0" applyFill="1" applyBorder="1" applyAlignment="1">
      <alignment horizontal="center" vertical="center" wrapText="1"/>
    </xf>
    <xf numFmtId="0" fontId="0" fillId="0" borderId="12" xfId="0" applyBorder="1" applyAlignment="1">
      <alignment horizontal="center" vertical="center" wrapText="1"/>
    </xf>
    <xf numFmtId="49" fontId="0" fillId="5" borderId="42" xfId="0" applyNumberFormat="1" applyFont="1" applyFill="1" applyBorder="1" applyAlignment="1">
      <alignment horizontal="left"/>
    </xf>
    <xf numFmtId="49" fontId="0" fillId="5" borderId="43" xfId="0" applyNumberFormat="1" applyFont="1" applyFill="1" applyBorder="1" applyAlignment="1">
      <alignment horizontal="left"/>
    </xf>
    <xf numFmtId="49" fontId="0" fillId="5" borderId="32" xfId="0" applyNumberFormat="1" applyFont="1" applyFill="1" applyBorder="1" applyAlignment="1">
      <alignment horizontal="left"/>
    </xf>
    <xf numFmtId="0" fontId="0" fillId="4" borderId="34" xfId="0" applyFill="1" applyBorder="1" applyAlignment="1">
      <alignment horizontal="left" wrapText="1"/>
    </xf>
    <xf numFmtId="0" fontId="0" fillId="4" borderId="27" xfId="0" applyFill="1" applyBorder="1" applyAlignment="1">
      <alignment horizontal="left" wrapText="1"/>
    </xf>
    <xf numFmtId="0" fontId="0" fillId="4" borderId="19" xfId="0" applyFill="1" applyBorder="1" applyAlignment="1">
      <alignment horizontal="left" wrapText="1"/>
    </xf>
    <xf numFmtId="49" fontId="0" fillId="4" borderId="53" xfId="0" applyNumberFormat="1" applyFont="1" applyFill="1" applyBorder="1" applyAlignment="1">
      <alignment horizontal="left" vertical="center" wrapText="1"/>
    </xf>
    <xf numFmtId="49" fontId="0" fillId="4" borderId="10" xfId="0" applyNumberFormat="1" applyFont="1" applyFill="1" applyBorder="1" applyAlignment="1">
      <alignment horizontal="left" vertical="center" wrapText="1"/>
    </xf>
    <xf numFmtId="49" fontId="0" fillId="4" borderId="7" xfId="0" applyNumberFormat="1" applyFont="1" applyFill="1" applyBorder="1" applyAlignment="1">
      <alignment horizontal="left" vertical="center" wrapText="1"/>
    </xf>
    <xf numFmtId="0" fontId="75" fillId="21" borderId="34" xfId="0" applyFont="1" applyFill="1" applyBorder="1" applyAlignment="1">
      <alignment horizontal="left" wrapText="1" shrinkToFit="1"/>
    </xf>
    <xf numFmtId="0" fontId="75" fillId="21" borderId="27" xfId="0" applyFont="1" applyFill="1" applyBorder="1" applyAlignment="1">
      <alignment horizontal="left" wrapText="1" shrinkToFit="1"/>
    </xf>
    <xf numFmtId="0" fontId="75" fillId="21" borderId="19" xfId="0" applyFont="1" applyFill="1" applyBorder="1" applyAlignment="1">
      <alignment horizontal="left" wrapText="1" shrinkToFit="1"/>
    </xf>
    <xf numFmtId="4" fontId="0" fillId="3" borderId="4" xfId="0" applyNumberFormat="1" applyFill="1" applyBorder="1" applyAlignment="1" applyProtection="1">
      <alignment horizontal="left"/>
      <protection locked="0"/>
    </xf>
    <xf numFmtId="4" fontId="0" fillId="3" borderId="5" xfId="0" applyNumberFormat="1" applyFill="1" applyBorder="1" applyAlignment="1" applyProtection="1">
      <alignment horizontal="left"/>
      <protection locked="0"/>
    </xf>
    <xf numFmtId="4" fontId="0" fillId="3" borderId="6" xfId="0" applyNumberFormat="1" applyFill="1" applyBorder="1" applyAlignment="1" applyProtection="1">
      <alignment horizontal="left"/>
      <protection locked="0"/>
    </xf>
    <xf numFmtId="0" fontId="0" fillId="4" borderId="34"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46" xfId="0" applyFont="1" applyFill="1" applyBorder="1" applyAlignment="1">
      <alignment horizontal="center" vertical="center" wrapText="1"/>
    </xf>
    <xf numFmtId="0" fontId="0" fillId="5" borderId="4" xfId="0" applyFont="1" applyFill="1" applyBorder="1" applyAlignment="1" applyProtection="1">
      <alignment horizontal="center" vertical="center" wrapText="1"/>
      <protection locked="0"/>
    </xf>
    <xf numFmtId="0" fontId="0" fillId="5" borderId="5" xfId="0" applyFont="1" applyFill="1" applyBorder="1" applyAlignment="1" applyProtection="1">
      <alignment horizontal="center" vertical="center" wrapText="1"/>
      <protection locked="0"/>
    </xf>
    <xf numFmtId="0" fontId="0" fillId="5" borderId="6" xfId="0" applyFont="1" applyFill="1" applyBorder="1" applyAlignment="1">
      <alignment horizontal="left" vertical="center" wrapText="1"/>
    </xf>
    <xf numFmtId="0" fontId="0" fillId="4" borderId="4" xfId="0" applyFill="1" applyBorder="1" applyAlignment="1">
      <alignment horizontal="left" wrapText="1"/>
    </xf>
    <xf numFmtId="0" fontId="0" fillId="4" borderId="5" xfId="0" applyFill="1" applyBorder="1" applyAlignment="1">
      <alignment horizontal="left" wrapText="1"/>
    </xf>
    <xf numFmtId="0" fontId="0" fillId="4" borderId="6" xfId="0" applyFill="1" applyBorder="1" applyAlignment="1">
      <alignment horizontal="left" wrapText="1"/>
    </xf>
    <xf numFmtId="0" fontId="0" fillId="4" borderId="1" xfId="0" applyFill="1" applyBorder="1" applyAlignment="1">
      <alignment horizontal="left" vertical="top" wrapText="1" shrinkToFit="1"/>
    </xf>
    <xf numFmtId="0" fontId="15" fillId="4" borderId="4" xfId="0" applyFont="1" applyFill="1" applyBorder="1" applyAlignment="1">
      <alignment horizontal="center"/>
    </xf>
    <xf numFmtId="0" fontId="15" fillId="4" borderId="5" xfId="0" applyFont="1" applyFill="1" applyBorder="1" applyAlignment="1">
      <alignment horizontal="center"/>
    </xf>
    <xf numFmtId="0" fontId="15" fillId="4" borderId="6" xfId="0" applyFont="1" applyFill="1" applyBorder="1" applyAlignment="1">
      <alignment horizontal="center"/>
    </xf>
    <xf numFmtId="0" fontId="13" fillId="5" borderId="4"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6" fillId="4" borderId="2" xfId="0" applyFont="1" applyFill="1" applyBorder="1" applyAlignment="1">
      <alignment horizontal="center"/>
    </xf>
    <xf numFmtId="0" fontId="16" fillId="4" borderId="10" xfId="0" applyFont="1" applyFill="1" applyBorder="1" applyAlignment="1">
      <alignment horizontal="center"/>
    </xf>
    <xf numFmtId="0" fontId="16" fillId="4" borderId="7" xfId="0" applyFont="1" applyFill="1" applyBorder="1" applyAlignment="1">
      <alignment horizontal="center"/>
    </xf>
    <xf numFmtId="0" fontId="0" fillId="5" borderId="1" xfId="0" applyFill="1" applyBorder="1" applyAlignment="1">
      <alignment horizontal="left"/>
    </xf>
    <xf numFmtId="0" fontId="0" fillId="3" borderId="1" xfId="0" applyFill="1" applyBorder="1" applyAlignment="1" applyProtection="1">
      <alignment horizontal="right"/>
      <protection locked="0"/>
    </xf>
    <xf numFmtId="0" fontId="0" fillId="5" borderId="6" xfId="0" applyFont="1" applyFill="1" applyBorder="1" applyAlignment="1" applyProtection="1">
      <alignment horizontal="center" vertical="center" wrapText="1"/>
      <protection locked="0"/>
    </xf>
    <xf numFmtId="0" fontId="0" fillId="4"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ill="1" applyBorder="1" applyAlignment="1">
      <alignment horizontal="center" vertical="center" wrapText="1" shrinkToFit="1"/>
    </xf>
    <xf numFmtId="0" fontId="12" fillId="10" borderId="8" xfId="0" applyFont="1" applyFill="1" applyBorder="1" applyAlignment="1">
      <alignment horizontal="center" vertical="center" textRotation="90"/>
    </xf>
    <xf numFmtId="0" fontId="12" fillId="10" borderId="35" xfId="0" applyFont="1" applyFill="1" applyBorder="1" applyAlignment="1">
      <alignment horizontal="center" vertical="center" textRotation="90"/>
    </xf>
    <xf numFmtId="0" fontId="12" fillId="10" borderId="3" xfId="0" applyFont="1" applyFill="1" applyBorder="1" applyAlignment="1">
      <alignment horizontal="center" vertical="center" textRotation="90"/>
    </xf>
    <xf numFmtId="0" fontId="12" fillId="10" borderId="12" xfId="0" applyFont="1" applyFill="1" applyBorder="1" applyAlignment="1">
      <alignment horizontal="center" vertical="center" textRotation="90"/>
    </xf>
    <xf numFmtId="0" fontId="0" fillId="5" borderId="1" xfId="0" applyFill="1" applyBorder="1" applyAlignment="1">
      <alignment horizontal="center"/>
    </xf>
    <xf numFmtId="0" fontId="0" fillId="5" borderId="1" xfId="0" applyFill="1" applyBorder="1" applyAlignment="1">
      <alignment horizontal="right"/>
    </xf>
    <xf numFmtId="0" fontId="0" fillId="5" borderId="2" xfId="0" applyFill="1" applyBorder="1" applyAlignment="1">
      <alignment horizontal="left" vertical="center" wrapText="1"/>
    </xf>
    <xf numFmtId="0" fontId="0" fillId="5" borderId="10" xfId="0" applyFill="1" applyBorder="1" applyAlignment="1">
      <alignment horizontal="left" vertical="center" wrapText="1"/>
    </xf>
    <xf numFmtId="0" fontId="0" fillId="5" borderId="7" xfId="0" applyFill="1" applyBorder="1" applyAlignment="1">
      <alignment horizontal="left" vertical="center" wrapText="1"/>
    </xf>
    <xf numFmtId="0" fontId="0" fillId="5" borderId="3" xfId="0" applyFill="1" applyBorder="1" applyAlignment="1">
      <alignment horizontal="left" vertical="center" wrapText="1"/>
    </xf>
    <xf numFmtId="0" fontId="0" fillId="5" borderId="0" xfId="0" applyFill="1" applyBorder="1" applyAlignment="1">
      <alignment horizontal="left" vertical="center" wrapText="1"/>
    </xf>
    <xf numFmtId="0" fontId="0" fillId="5" borderId="46" xfId="0" applyFill="1" applyBorder="1" applyAlignment="1">
      <alignment horizontal="left" vertical="center" wrapText="1"/>
    </xf>
    <xf numFmtId="0" fontId="0" fillId="5" borderId="34" xfId="0" applyFill="1" applyBorder="1" applyAlignment="1">
      <alignment horizontal="left" vertical="center" wrapText="1"/>
    </xf>
    <xf numFmtId="0" fontId="0" fillId="5" borderId="27" xfId="0" applyFill="1" applyBorder="1" applyAlignment="1">
      <alignment horizontal="left" vertical="center" wrapText="1"/>
    </xf>
    <xf numFmtId="0" fontId="0" fillId="5" borderId="19" xfId="0" applyFill="1" applyBorder="1" applyAlignment="1">
      <alignment horizontal="left" vertical="center" wrapText="1"/>
    </xf>
    <xf numFmtId="0" fontId="0" fillId="5" borderId="4" xfId="0" applyFill="1" applyBorder="1" applyAlignment="1" applyProtection="1">
      <alignment horizontal="center"/>
      <protection locked="0"/>
    </xf>
    <xf numFmtId="0" fontId="0" fillId="5" borderId="6" xfId="0" applyFill="1" applyBorder="1" applyAlignment="1" applyProtection="1">
      <alignment horizontal="center"/>
      <protection locked="0"/>
    </xf>
    <xf numFmtId="177" fontId="0" fillId="3" borderId="4" xfId="0" applyNumberFormat="1" applyFill="1" applyBorder="1" applyAlignment="1" applyProtection="1">
      <alignment horizontal="center"/>
      <protection locked="0"/>
    </xf>
    <xf numFmtId="177" fontId="0" fillId="3" borderId="6" xfId="0" applyNumberFormat="1" applyFill="1" applyBorder="1" applyAlignment="1" applyProtection="1">
      <alignment horizontal="center"/>
      <protection locked="0"/>
    </xf>
    <xf numFmtId="0" fontId="0" fillId="5" borderId="4" xfId="0" applyFill="1" applyBorder="1" applyAlignment="1">
      <alignment horizontal="left"/>
    </xf>
    <xf numFmtId="0" fontId="0" fillId="5" borderId="5" xfId="0" applyFill="1" applyBorder="1" applyAlignment="1">
      <alignment horizontal="left"/>
    </xf>
    <xf numFmtId="0" fontId="0" fillId="5" borderId="6" xfId="0" applyFill="1" applyBorder="1" applyAlignment="1">
      <alignment horizontal="left"/>
    </xf>
    <xf numFmtId="0" fontId="0" fillId="5" borderId="4" xfId="0" applyFont="1" applyFill="1" applyBorder="1" applyAlignment="1" applyProtection="1">
      <alignment horizontal="center"/>
    </xf>
    <xf numFmtId="0" fontId="0" fillId="5" borderId="5" xfId="0" applyFont="1" applyFill="1" applyBorder="1" applyAlignment="1" applyProtection="1">
      <alignment horizontal="center"/>
    </xf>
    <xf numFmtId="0" fontId="0" fillId="5" borderId="6" xfId="0" applyFont="1" applyFill="1" applyBorder="1" applyAlignment="1" applyProtection="1">
      <alignment horizontal="center"/>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4" borderId="12" xfId="0" applyFill="1" applyBorder="1" applyAlignment="1">
      <alignment horizontal="left" vertical="top" wrapText="1" shrinkToFit="1"/>
    </xf>
    <xf numFmtId="0" fontId="0" fillId="4" borderId="4" xfId="0" applyFont="1" applyFill="1" applyBorder="1" applyAlignment="1">
      <alignment horizontal="left" vertical="top" wrapText="1"/>
    </xf>
    <xf numFmtId="0" fontId="0" fillId="4" borderId="6" xfId="0" applyFont="1" applyFill="1" applyBorder="1" applyAlignment="1">
      <alignment horizontal="left" vertical="top" wrapText="1"/>
    </xf>
    <xf numFmtId="0" fontId="23" fillId="4" borderId="2"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7" xfId="0" applyFont="1" applyFill="1" applyBorder="1" applyAlignment="1">
      <alignment horizontal="center" vertical="center"/>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1" fillId="7" borderId="4" xfId="0" applyFont="1" applyFill="1" applyBorder="1" applyAlignment="1" applyProtection="1">
      <alignment horizontal="center"/>
      <protection locked="0"/>
    </xf>
    <xf numFmtId="0" fontId="11" fillId="7" borderId="5" xfId="0" applyFont="1" applyFill="1" applyBorder="1" applyAlignment="1" applyProtection="1">
      <alignment horizontal="center"/>
      <protection locked="0"/>
    </xf>
    <xf numFmtId="0" fontId="11" fillId="7" borderId="6" xfId="0" applyFont="1" applyFill="1" applyBorder="1" applyAlignment="1" applyProtection="1">
      <alignment horizontal="center"/>
      <protection locked="0"/>
    </xf>
    <xf numFmtId="0" fontId="9" fillId="4" borderId="4" xfId="0" applyFont="1" applyFill="1" applyBorder="1" applyAlignment="1">
      <alignment horizontal="center"/>
    </xf>
    <xf numFmtId="0" fontId="9" fillId="4" borderId="6" xfId="0" applyFont="1" applyFill="1" applyBorder="1" applyAlignment="1">
      <alignment horizontal="center"/>
    </xf>
    <xf numFmtId="177" fontId="22" fillId="3" borderId="4" xfId="0" applyNumberFormat="1" applyFont="1" applyFill="1" applyBorder="1" applyAlignment="1" applyProtection="1">
      <alignment horizontal="center"/>
      <protection locked="0"/>
    </xf>
    <xf numFmtId="177" fontId="22" fillId="3" borderId="6" xfId="0" applyNumberFormat="1" applyFont="1" applyFill="1" applyBorder="1" applyAlignment="1" applyProtection="1">
      <alignment horizontal="center"/>
      <protection locked="0"/>
    </xf>
    <xf numFmtId="0" fontId="1" fillId="4" borderId="34"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6" borderId="6" xfId="0" applyFont="1" applyFill="1" applyBorder="1" applyAlignment="1">
      <alignment horizontal="left" vertical="center" wrapText="1"/>
    </xf>
    <xf numFmtId="165" fontId="0" fillId="3" borderId="4" xfId="0" applyNumberFormat="1" applyFill="1" applyBorder="1" applyAlignment="1" applyProtection="1">
      <alignment horizontal="center"/>
      <protection locked="0"/>
    </xf>
    <xf numFmtId="165" fontId="0" fillId="3" borderId="5" xfId="0" applyNumberFormat="1" applyFill="1" applyBorder="1" applyAlignment="1" applyProtection="1">
      <alignment horizontal="center"/>
      <protection locked="0"/>
    </xf>
    <xf numFmtId="165" fontId="0" fillId="3" borderId="6" xfId="0" applyNumberFormat="1" applyFill="1" applyBorder="1" applyAlignment="1" applyProtection="1">
      <alignment horizontal="center"/>
      <protection locked="0"/>
    </xf>
    <xf numFmtId="4" fontId="0" fillId="5" borderId="1" xfId="0" applyNumberFormat="1" applyFill="1" applyBorder="1" applyAlignment="1">
      <alignment horizontal="right"/>
    </xf>
    <xf numFmtId="0" fontId="6" fillId="4" borderId="4" xfId="0" applyFont="1" applyFill="1" applyBorder="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71" fillId="21" borderId="2" xfId="0" applyFont="1" applyFill="1" applyBorder="1" applyAlignment="1">
      <alignment horizontal="left" wrapText="1" shrinkToFit="1"/>
    </xf>
    <xf numFmtId="0" fontId="71" fillId="21" borderId="10" xfId="0" applyFont="1" applyFill="1" applyBorder="1" applyAlignment="1">
      <alignment horizontal="left" wrapText="1" shrinkToFit="1"/>
    </xf>
    <xf numFmtId="0" fontId="71" fillId="21" borderId="7" xfId="0" applyFont="1" applyFill="1" applyBorder="1" applyAlignment="1">
      <alignment horizontal="left" wrapText="1" shrinkToFit="1"/>
    </xf>
    <xf numFmtId="164" fontId="0" fillId="5" borderId="5" xfId="343" applyFont="1" applyFill="1" applyBorder="1" applyAlignment="1" applyProtection="1"/>
    <xf numFmtId="164" fontId="0" fillId="5" borderId="6" xfId="343" applyFont="1" applyFill="1" applyBorder="1" applyAlignment="1" applyProtection="1"/>
    <xf numFmtId="164" fontId="0" fillId="5" borderId="13" xfId="343" applyFont="1" applyFill="1" applyBorder="1" applyAlignment="1">
      <alignment horizontal="left"/>
    </xf>
    <xf numFmtId="164" fontId="0" fillId="5" borderId="5" xfId="343" applyFont="1" applyFill="1" applyBorder="1" applyAlignment="1">
      <alignment horizontal="left"/>
    </xf>
    <xf numFmtId="164" fontId="0" fillId="5" borderId="6" xfId="343" applyFont="1" applyFill="1" applyBorder="1" applyAlignment="1">
      <alignment horizontal="left"/>
    </xf>
    <xf numFmtId="166" fontId="0" fillId="12" borderId="4" xfId="0" applyNumberFormat="1" applyFont="1" applyFill="1" applyBorder="1" applyAlignment="1">
      <alignment horizontal="center" wrapText="1"/>
    </xf>
    <xf numFmtId="166" fontId="0" fillId="12" borderId="5" xfId="0" applyNumberFormat="1" applyFont="1" applyFill="1" applyBorder="1" applyAlignment="1">
      <alignment horizontal="center" wrapText="1"/>
    </xf>
    <xf numFmtId="166" fontId="0" fillId="12" borderId="40" xfId="0" applyNumberFormat="1" applyFont="1" applyFill="1" applyBorder="1" applyAlignment="1">
      <alignment horizontal="center" wrapText="1"/>
    </xf>
    <xf numFmtId="0" fontId="15" fillId="4" borderId="40" xfId="0" applyFont="1" applyFill="1" applyBorder="1" applyAlignment="1">
      <alignment horizontal="center"/>
    </xf>
    <xf numFmtId="0" fontId="0" fillId="4" borderId="4" xfId="0" applyFont="1" applyFill="1" applyBorder="1" applyAlignment="1">
      <alignment horizontal="left"/>
    </xf>
    <xf numFmtId="0" fontId="0" fillId="4" borderId="5" xfId="0" applyFont="1" applyFill="1" applyBorder="1" applyAlignment="1">
      <alignment horizontal="left"/>
    </xf>
    <xf numFmtId="0" fontId="0" fillId="4" borderId="6" xfId="0" applyFont="1" applyFill="1" applyBorder="1" applyAlignment="1">
      <alignment horizontal="left"/>
    </xf>
    <xf numFmtId="0" fontId="0" fillId="3" borderId="40" xfId="0" applyFill="1" applyBorder="1" applyAlignment="1" applyProtection="1">
      <alignment horizontal="left"/>
      <protection locked="0"/>
    </xf>
    <xf numFmtId="0" fontId="14" fillId="8" borderId="4" xfId="0" applyFont="1" applyFill="1" applyBorder="1" applyAlignment="1" applyProtection="1">
      <alignment horizontal="left"/>
      <protection locked="0"/>
    </xf>
    <xf numFmtId="0" fontId="14" fillId="8" borderId="5" xfId="0" applyFont="1" applyFill="1" applyBorder="1" applyAlignment="1" applyProtection="1">
      <alignment horizontal="left"/>
      <protection locked="0"/>
    </xf>
    <xf numFmtId="0" fontId="14" fillId="8" borderId="40" xfId="0" applyFont="1" applyFill="1" applyBorder="1" applyAlignment="1" applyProtection="1">
      <alignment horizontal="left"/>
      <protection locked="0"/>
    </xf>
    <xf numFmtId="164" fontId="0" fillId="5" borderId="42" xfId="343" applyFont="1" applyFill="1" applyBorder="1" applyAlignment="1" applyProtection="1"/>
    <xf numFmtId="164" fontId="0" fillId="5" borderId="43" xfId="343" applyFont="1" applyFill="1" applyBorder="1" applyAlignment="1" applyProtection="1"/>
    <xf numFmtId="164" fontId="0" fillId="5" borderId="32" xfId="343" applyFont="1" applyFill="1" applyBorder="1" applyAlignment="1" applyProtection="1"/>
    <xf numFmtId="0" fontId="0" fillId="3" borderId="42" xfId="0" applyFill="1" applyBorder="1" applyAlignment="1" applyProtection="1">
      <alignment horizontal="left"/>
      <protection locked="0"/>
    </xf>
    <xf numFmtId="0" fontId="0" fillId="3" borderId="43" xfId="0" applyFill="1" applyBorder="1" applyAlignment="1" applyProtection="1">
      <alignment horizontal="left"/>
      <protection locked="0"/>
    </xf>
    <xf numFmtId="0" fontId="0" fillId="3" borderId="44" xfId="0" applyFill="1" applyBorder="1" applyAlignment="1" applyProtection="1">
      <alignment horizontal="left"/>
      <protection locked="0"/>
    </xf>
    <xf numFmtId="0" fontId="6" fillId="10" borderId="69" xfId="0" applyFont="1" applyFill="1" applyBorder="1" applyAlignment="1">
      <alignment horizontal="center" vertical="center" textRotation="90"/>
    </xf>
    <xf numFmtId="0" fontId="6" fillId="10" borderId="70" xfId="0" applyFont="1" applyFill="1" applyBorder="1" applyAlignment="1">
      <alignment horizontal="center" vertical="center" textRotation="90"/>
    </xf>
    <xf numFmtId="0" fontId="6" fillId="10" borderId="68" xfId="0" applyFont="1" applyFill="1" applyBorder="1" applyAlignment="1">
      <alignment horizontal="center" vertical="center" textRotation="90"/>
    </xf>
    <xf numFmtId="0" fontId="6" fillId="4" borderId="38" xfId="0" applyFont="1" applyFill="1" applyBorder="1" applyAlignment="1">
      <alignment horizontal="center"/>
    </xf>
    <xf numFmtId="0" fontId="6" fillId="4" borderId="39" xfId="0" applyFont="1" applyFill="1" applyBorder="1" applyAlignment="1">
      <alignment horizontal="center"/>
    </xf>
    <xf numFmtId="0" fontId="6" fillId="4" borderId="11" xfId="0" applyFont="1" applyFill="1" applyBorder="1" applyAlignment="1">
      <alignment horizontal="left"/>
    </xf>
    <xf numFmtId="0" fontId="6" fillId="4" borderId="38" xfId="0" applyFont="1" applyFill="1" applyBorder="1" applyAlignment="1">
      <alignment horizontal="left"/>
    </xf>
    <xf numFmtId="0" fontId="6" fillId="4" borderId="43" xfId="0" applyFont="1" applyFill="1" applyBorder="1" applyAlignment="1">
      <alignment horizontal="center"/>
    </xf>
    <xf numFmtId="0" fontId="6" fillId="4" borderId="44" xfId="0" applyFont="1" applyFill="1" applyBorder="1" applyAlignment="1">
      <alignment horizontal="center"/>
    </xf>
    <xf numFmtId="164" fontId="0" fillId="5" borderId="4" xfId="343" applyFont="1" applyFill="1" applyBorder="1" applyAlignment="1" applyProtection="1">
      <protection locked="0"/>
    </xf>
    <xf numFmtId="164" fontId="0" fillId="5" borderId="5" xfId="343" applyFont="1" applyFill="1" applyBorder="1" applyAlignment="1" applyProtection="1">
      <protection locked="0"/>
    </xf>
    <xf numFmtId="164" fontId="0" fillId="5" borderId="6" xfId="343" applyFont="1" applyFill="1" applyBorder="1" applyAlignment="1" applyProtection="1">
      <protection locked="0"/>
    </xf>
    <xf numFmtId="0" fontId="0" fillId="4" borderId="40" xfId="0" applyFont="1" applyFill="1" applyBorder="1" applyAlignment="1">
      <alignment horizontal="left"/>
    </xf>
    <xf numFmtId="164" fontId="0" fillId="5" borderId="4" xfId="343" applyFont="1" applyFill="1" applyBorder="1" applyAlignment="1" applyProtection="1">
      <alignment horizontal="left"/>
      <protection locked="0"/>
    </xf>
    <xf numFmtId="164" fontId="0" fillId="5" borderId="5" xfId="343" applyFont="1" applyFill="1" applyBorder="1" applyAlignment="1" applyProtection="1">
      <alignment horizontal="left"/>
      <protection locked="0"/>
    </xf>
    <xf numFmtId="164" fontId="0" fillId="5" borderId="6" xfId="343" applyFont="1" applyFill="1" applyBorder="1" applyAlignment="1" applyProtection="1">
      <alignment horizontal="left"/>
      <protection locked="0"/>
    </xf>
    <xf numFmtId="164" fontId="0" fillId="5" borderId="42" xfId="343" applyFont="1" applyFill="1" applyBorder="1" applyAlignment="1" applyProtection="1">
      <protection locked="0"/>
    </xf>
    <xf numFmtId="164" fontId="0" fillId="5" borderId="43" xfId="343" applyFont="1" applyFill="1" applyBorder="1" applyAlignment="1" applyProtection="1">
      <protection locked="0"/>
    </xf>
    <xf numFmtId="164" fontId="0" fillId="5" borderId="32" xfId="343" applyFont="1" applyFill="1" applyBorder="1" applyAlignment="1" applyProtection="1">
      <protection locked="0"/>
    </xf>
    <xf numFmtId="0" fontId="0" fillId="5" borderId="4" xfId="0" applyFill="1" applyBorder="1" applyAlignment="1">
      <alignment horizontal="center"/>
    </xf>
    <xf numFmtId="0" fontId="0" fillId="5" borderId="6" xfId="0" applyFill="1" applyBorder="1" applyAlignment="1">
      <alignment horizontal="center"/>
    </xf>
    <xf numFmtId="0" fontId="15" fillId="4" borderId="38" xfId="0" applyFont="1" applyFill="1" applyBorder="1" applyAlignment="1">
      <alignment horizontal="center"/>
    </xf>
    <xf numFmtId="0" fontId="15" fillId="4" borderId="39" xfId="0" applyFont="1" applyFill="1" applyBorder="1" applyAlignment="1">
      <alignment horizontal="center"/>
    </xf>
    <xf numFmtId="177" fontId="15" fillId="4" borderId="5" xfId="0" applyNumberFormat="1" applyFont="1" applyFill="1" applyBorder="1" applyAlignment="1">
      <alignment horizontal="center"/>
    </xf>
    <xf numFmtId="177" fontId="15" fillId="4" borderId="40" xfId="0" applyNumberFormat="1" applyFont="1" applyFill="1" applyBorder="1" applyAlignment="1">
      <alignment horizontal="center"/>
    </xf>
    <xf numFmtId="0" fontId="0" fillId="4" borderId="40" xfId="0" applyFill="1" applyBorder="1" applyAlignment="1">
      <alignment horizontal="left" wrapText="1"/>
    </xf>
    <xf numFmtId="0" fontId="0" fillId="5" borderId="5" xfId="0" applyFill="1" applyBorder="1" applyAlignment="1">
      <alignment horizontal="center"/>
    </xf>
    <xf numFmtId="164" fontId="0" fillId="5" borderId="5" xfId="343" applyFont="1" applyFill="1" applyBorder="1" applyAlignment="1" applyProtection="1">
      <alignment horizontal="left"/>
    </xf>
    <xf numFmtId="164" fontId="0" fillId="5" borderId="6" xfId="343" applyFont="1" applyFill="1" applyBorder="1" applyAlignment="1" applyProtection="1">
      <alignment horizontal="left"/>
    </xf>
    <xf numFmtId="0" fontId="0" fillId="4" borderId="1" xfId="0" applyFont="1" applyFill="1" applyBorder="1" applyAlignment="1">
      <alignment horizontal="left"/>
    </xf>
    <xf numFmtId="0" fontId="0" fillId="4" borderId="14" xfId="0" applyFont="1" applyFill="1" applyBorder="1" applyAlignment="1">
      <alignment horizontal="left"/>
    </xf>
    <xf numFmtId="0" fontId="15" fillId="4" borderId="37" xfId="0" applyFont="1" applyFill="1" applyBorder="1" applyAlignment="1">
      <alignment horizontal="center"/>
    </xf>
    <xf numFmtId="0" fontId="15" fillId="4" borderId="11" xfId="0" applyFont="1" applyFill="1" applyBorder="1" applyAlignment="1">
      <alignment horizontal="center" wrapText="1"/>
    </xf>
    <xf numFmtId="0" fontId="15" fillId="4" borderId="38" xfId="0" applyFont="1" applyFill="1" applyBorder="1" applyAlignment="1">
      <alignment horizontal="center" wrapText="1"/>
    </xf>
    <xf numFmtId="0" fontId="15" fillId="4" borderId="39" xfId="0" applyFont="1" applyFill="1" applyBorder="1" applyAlignment="1">
      <alignment horizontal="center" wrapText="1"/>
    </xf>
    <xf numFmtId="0" fontId="0" fillId="4" borderId="13" xfId="0" applyFont="1" applyFill="1" applyBorder="1" applyAlignment="1">
      <alignment horizontal="left"/>
    </xf>
    <xf numFmtId="0" fontId="15" fillId="4" borderId="59" xfId="0" applyFont="1" applyFill="1" applyBorder="1" applyAlignment="1">
      <alignment horizontal="center"/>
    </xf>
    <xf numFmtId="0" fontId="15" fillId="4" borderId="60" xfId="0" applyFont="1" applyFill="1" applyBorder="1" applyAlignment="1">
      <alignment horizontal="center"/>
    </xf>
    <xf numFmtId="0" fontId="15" fillId="4" borderId="52" xfId="0" applyFont="1" applyFill="1" applyBorder="1" applyAlignment="1">
      <alignment horizontal="center"/>
    </xf>
    <xf numFmtId="4" fontId="14" fillId="8" borderId="4" xfId="0" applyNumberFormat="1" applyFont="1" applyFill="1" applyBorder="1" applyAlignment="1" applyProtection="1">
      <alignment horizontal="left"/>
      <protection locked="0"/>
    </xf>
    <xf numFmtId="4" fontId="14" fillId="8" borderId="5" xfId="0" applyNumberFormat="1" applyFont="1" applyFill="1" applyBorder="1" applyAlignment="1" applyProtection="1">
      <alignment horizontal="left"/>
      <protection locked="0"/>
    </xf>
    <xf numFmtId="4" fontId="14" fillId="8" borderId="40" xfId="0" applyNumberFormat="1" applyFont="1" applyFill="1" applyBorder="1" applyAlignment="1" applyProtection="1">
      <alignment horizontal="left"/>
      <protection locked="0"/>
    </xf>
    <xf numFmtId="164" fontId="0" fillId="5" borderId="29" xfId="343" applyFont="1" applyFill="1" applyBorder="1" applyAlignment="1">
      <alignment horizontal="left"/>
    </xf>
    <xf numFmtId="164" fontId="0" fillId="5" borderId="43" xfId="343" applyFont="1" applyFill="1" applyBorder="1" applyAlignment="1">
      <alignment horizontal="left"/>
    </xf>
    <xf numFmtId="164" fontId="0" fillId="5" borderId="32" xfId="343" applyFont="1" applyFill="1" applyBorder="1" applyAlignment="1">
      <alignment horizontal="left"/>
    </xf>
    <xf numFmtId="4" fontId="14" fillId="8" borderId="42" xfId="0" applyNumberFormat="1" applyFont="1" applyFill="1" applyBorder="1" applyAlignment="1" applyProtection="1">
      <alignment horizontal="left"/>
      <protection locked="0"/>
    </xf>
    <xf numFmtId="4" fontId="14" fillId="8" borderId="43" xfId="0" applyNumberFormat="1" applyFont="1" applyFill="1" applyBorder="1" applyAlignment="1" applyProtection="1">
      <alignment horizontal="left"/>
      <protection locked="0"/>
    </xf>
    <xf numFmtId="4" fontId="14" fillId="8" borderId="44" xfId="0" applyNumberFormat="1" applyFont="1" applyFill="1" applyBorder="1" applyAlignment="1" applyProtection="1">
      <alignment horizontal="left"/>
      <protection locked="0"/>
    </xf>
    <xf numFmtId="0" fontId="15" fillId="4" borderId="11" xfId="0" applyFont="1" applyFill="1" applyBorder="1" applyAlignment="1">
      <alignment horizontal="center"/>
    </xf>
    <xf numFmtId="164" fontId="0" fillId="5" borderId="13" xfId="343" applyNumberFormat="1" applyFont="1" applyFill="1" applyBorder="1" applyAlignment="1">
      <alignment horizontal="left"/>
    </xf>
    <xf numFmtId="164" fontId="0" fillId="5" borderId="5" xfId="343" applyNumberFormat="1" applyFont="1" applyFill="1" applyBorder="1" applyAlignment="1">
      <alignment horizontal="left"/>
    </xf>
    <xf numFmtId="164" fontId="0" fillId="5" borderId="6" xfId="343" applyNumberFormat="1" applyFont="1" applyFill="1" applyBorder="1" applyAlignment="1">
      <alignment horizontal="left"/>
    </xf>
    <xf numFmtId="0" fontId="14" fillId="8" borderId="4" xfId="0" applyFont="1" applyFill="1" applyBorder="1" applyAlignment="1" applyProtection="1">
      <protection locked="0"/>
    </xf>
    <xf numFmtId="0" fontId="14" fillId="8" borderId="5" xfId="0" applyFont="1" applyFill="1" applyBorder="1" applyAlignment="1" applyProtection="1">
      <protection locked="0"/>
    </xf>
    <xf numFmtId="0" fontId="14" fillId="8" borderId="40" xfId="0" applyFont="1" applyFill="1" applyBorder="1" applyAlignment="1" applyProtection="1">
      <protection locked="0"/>
    </xf>
    <xf numFmtId="0" fontId="0" fillId="3" borderId="4" xfId="0" applyFill="1" applyBorder="1" applyAlignment="1" applyProtection="1">
      <protection locked="0"/>
    </xf>
    <xf numFmtId="0" fontId="0" fillId="3" borderId="5" xfId="0" applyFill="1" applyBorder="1" applyAlignment="1" applyProtection="1">
      <protection locked="0"/>
    </xf>
    <xf numFmtId="0" fontId="0" fillId="3" borderId="40" xfId="0" applyFill="1" applyBorder="1" applyAlignment="1" applyProtection="1">
      <protection locked="0"/>
    </xf>
    <xf numFmtId="4" fontId="14" fillId="8" borderId="4" xfId="0" applyNumberFormat="1" applyFont="1" applyFill="1" applyBorder="1" applyAlignment="1" applyProtection="1">
      <protection locked="0"/>
    </xf>
    <xf numFmtId="4" fontId="14" fillId="8" borderId="5" xfId="0" applyNumberFormat="1" applyFont="1" applyFill="1" applyBorder="1" applyAlignment="1" applyProtection="1">
      <protection locked="0"/>
    </xf>
    <xf numFmtId="4" fontId="14" fillId="8" borderId="40" xfId="0" applyNumberFormat="1" applyFont="1" applyFill="1" applyBorder="1" applyAlignment="1" applyProtection="1">
      <protection locked="0"/>
    </xf>
    <xf numFmtId="164" fontId="0" fillId="5" borderId="29" xfId="343" applyNumberFormat="1" applyFont="1" applyFill="1" applyBorder="1" applyAlignment="1">
      <alignment horizontal="left"/>
    </xf>
    <xf numFmtId="164" fontId="0" fillId="5" borderId="43" xfId="343" applyNumberFormat="1" applyFont="1" applyFill="1" applyBorder="1" applyAlignment="1">
      <alignment horizontal="left"/>
    </xf>
    <xf numFmtId="164" fontId="0" fillId="5" borderId="32" xfId="343" applyNumberFormat="1" applyFont="1" applyFill="1" applyBorder="1" applyAlignment="1">
      <alignment horizontal="left"/>
    </xf>
    <xf numFmtId="4" fontId="14" fillId="8" borderId="42" xfId="0" applyNumberFormat="1" applyFont="1" applyFill="1" applyBorder="1" applyAlignment="1" applyProtection="1">
      <protection locked="0"/>
    </xf>
    <xf numFmtId="4" fontId="14" fillId="8" borderId="43" xfId="0" applyNumberFormat="1" applyFont="1" applyFill="1" applyBorder="1" applyAlignment="1" applyProtection="1">
      <protection locked="0"/>
    </xf>
    <xf numFmtId="4" fontId="14" fillId="8" borderId="44" xfId="0" applyNumberFormat="1" applyFont="1" applyFill="1" applyBorder="1" applyAlignment="1" applyProtection="1">
      <protection locked="0"/>
    </xf>
    <xf numFmtId="4" fontId="14" fillId="8" borderId="4" xfId="0" applyNumberFormat="1" applyFont="1" applyFill="1" applyBorder="1" applyAlignment="1" applyProtection="1">
      <alignment horizontal="center"/>
      <protection locked="0"/>
    </xf>
    <xf numFmtId="4" fontId="14" fillId="8" borderId="5" xfId="0" applyNumberFormat="1" applyFont="1" applyFill="1" applyBorder="1" applyAlignment="1" applyProtection="1">
      <alignment horizontal="center"/>
      <protection locked="0"/>
    </xf>
    <xf numFmtId="4" fontId="14" fillId="8" borderId="40" xfId="0" applyNumberFormat="1" applyFont="1" applyFill="1" applyBorder="1" applyAlignment="1" applyProtection="1">
      <alignment horizontal="center"/>
      <protection locked="0"/>
    </xf>
    <xf numFmtId="0" fontId="15" fillId="4" borderId="36" xfId="0" applyFont="1" applyFill="1" applyBorder="1" applyAlignment="1">
      <alignment horizontal="center" vertical="center"/>
    </xf>
    <xf numFmtId="0" fontId="15" fillId="4" borderId="61" xfId="0" applyFont="1" applyFill="1" applyBorder="1" applyAlignment="1">
      <alignment horizontal="center" vertical="center"/>
    </xf>
    <xf numFmtId="0" fontId="15" fillId="4" borderId="62" xfId="0" applyFont="1" applyFill="1" applyBorder="1" applyAlignment="1">
      <alignment horizontal="center" vertical="center"/>
    </xf>
    <xf numFmtId="0" fontId="17" fillId="10" borderId="63" xfId="0" applyFont="1" applyFill="1" applyBorder="1" applyAlignment="1">
      <alignment horizontal="center" vertical="center" wrapText="1"/>
    </xf>
    <xf numFmtId="0" fontId="17" fillId="10" borderId="65" xfId="0" applyFont="1" applyFill="1" applyBorder="1" applyAlignment="1">
      <alignment horizontal="center" vertical="center" wrapText="1"/>
    </xf>
    <xf numFmtId="0" fontId="0" fillId="4" borderId="33" xfId="0" applyFont="1" applyFill="1" applyBorder="1" applyAlignment="1">
      <alignment horizontal="left" vertical="center" wrapText="1"/>
    </xf>
    <xf numFmtId="0" fontId="9" fillId="4" borderId="64" xfId="0" applyFont="1" applyFill="1" applyBorder="1" applyAlignment="1">
      <alignment horizontal="left"/>
    </xf>
    <xf numFmtId="0" fontId="9" fillId="4" borderId="27" xfId="0" applyFont="1" applyFill="1" applyBorder="1" applyAlignment="1">
      <alignment horizontal="left"/>
    </xf>
    <xf numFmtId="0" fontId="9" fillId="4" borderId="19" xfId="0" applyFont="1" applyFill="1" applyBorder="1" applyAlignment="1">
      <alignment horizontal="left"/>
    </xf>
    <xf numFmtId="0" fontId="0" fillId="3" borderId="13"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3" borderId="14" xfId="0" applyFill="1" applyBorder="1" applyAlignment="1" applyProtection="1">
      <alignment horizontal="left"/>
      <protection locked="0"/>
    </xf>
    <xf numFmtId="0" fontId="0" fillId="3" borderId="15" xfId="0" applyFill="1" applyBorder="1" applyAlignment="1" applyProtection="1">
      <alignment horizontal="left"/>
      <protection locked="0"/>
    </xf>
    <xf numFmtId="0" fontId="0" fillId="3" borderId="16" xfId="0" applyFill="1" applyBorder="1" applyAlignment="1" applyProtection="1">
      <alignment horizontal="left"/>
      <protection locked="0"/>
    </xf>
    <xf numFmtId="0" fontId="0" fillId="3" borderId="17" xfId="0" applyFill="1" applyBorder="1" applyAlignment="1" applyProtection="1">
      <alignment horizontal="left"/>
      <protection locked="0"/>
    </xf>
    <xf numFmtId="0" fontId="14" fillId="8" borderId="13" xfId="0" applyFont="1" applyFill="1" applyBorder="1" applyAlignment="1" applyProtection="1">
      <alignment horizontal="left"/>
      <protection locked="0"/>
    </xf>
    <xf numFmtId="0" fontId="14" fillId="8" borderId="9" xfId="0" applyFont="1" applyFill="1" applyBorder="1" applyAlignment="1" applyProtection="1">
      <alignment horizontal="left"/>
      <protection locked="0"/>
    </xf>
    <xf numFmtId="0" fontId="14" fillId="8" borderId="1" xfId="0" applyFont="1" applyFill="1" applyBorder="1" applyAlignment="1" applyProtection="1">
      <alignment horizontal="left"/>
      <protection locked="0"/>
    </xf>
    <xf numFmtId="0" fontId="14" fillId="8" borderId="14" xfId="0" applyFont="1" applyFill="1" applyBorder="1" applyAlignment="1" applyProtection="1">
      <alignment horizontal="left"/>
      <protection locked="0"/>
    </xf>
    <xf numFmtId="0" fontId="0" fillId="0" borderId="0" xfId="0" applyAlignment="1">
      <alignment wrapText="1"/>
    </xf>
    <xf numFmtId="0" fontId="13" fillId="0" borderId="10" xfId="0" applyFont="1" applyBorder="1" applyAlignment="1">
      <alignment horizontal="left" wrapText="1"/>
    </xf>
    <xf numFmtId="0" fontId="0" fillId="2" borderId="11" xfId="0" applyFill="1" applyBorder="1" applyAlignment="1" applyProtection="1">
      <alignment horizontal="left"/>
      <protection locked="0"/>
    </xf>
    <xf numFmtId="0" fontId="0" fillId="2" borderId="31"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6" xfId="0" applyFill="1" applyBorder="1" applyAlignment="1" applyProtection="1">
      <alignment horizontal="left"/>
      <protection locked="0"/>
    </xf>
    <xf numFmtId="0" fontId="10" fillId="5" borderId="8" xfId="0" applyFont="1" applyFill="1" applyBorder="1" applyAlignment="1">
      <alignment horizontal="center" vertical="center" textRotation="90" wrapText="1"/>
    </xf>
    <xf numFmtId="0" fontId="10" fillId="5" borderId="35" xfId="0" applyFont="1" applyFill="1" applyBorder="1" applyAlignment="1">
      <alignment horizontal="center" vertical="center" textRotation="90" wrapText="1"/>
    </xf>
    <xf numFmtId="0" fontId="10" fillId="5" borderId="12" xfId="0" applyFont="1" applyFill="1" applyBorder="1" applyAlignment="1">
      <alignment horizontal="center" vertical="center" textRotation="90" wrapText="1"/>
    </xf>
    <xf numFmtId="0" fontId="0" fillId="5" borderId="4" xfId="0" applyFont="1" applyFill="1" applyBorder="1" applyAlignment="1">
      <alignment horizontal="left" vertical="center"/>
    </xf>
    <xf numFmtId="0" fontId="0" fillId="5" borderId="5" xfId="0" applyFont="1" applyFill="1" applyBorder="1" applyAlignment="1">
      <alignment horizontal="left" vertical="center"/>
    </xf>
    <xf numFmtId="0" fontId="0" fillId="5" borderId="6" xfId="0" applyFont="1" applyFill="1" applyBorder="1" applyAlignment="1">
      <alignment horizontal="left" vertical="center"/>
    </xf>
    <xf numFmtId="0" fontId="0" fillId="7" borderId="4" xfId="0" applyFont="1" applyFill="1" applyBorder="1" applyAlignment="1">
      <alignment horizontal="left" vertical="center"/>
    </xf>
    <xf numFmtId="0" fontId="0" fillId="7" borderId="5" xfId="0" applyFont="1" applyFill="1" applyBorder="1" applyAlignment="1">
      <alignment horizontal="left" vertical="center"/>
    </xf>
    <xf numFmtId="0" fontId="0" fillId="7" borderId="6" xfId="0" applyFont="1" applyFill="1" applyBorder="1" applyAlignment="1">
      <alignment horizontal="left" vertical="center"/>
    </xf>
    <xf numFmtId="0" fontId="0" fillId="2" borderId="29" xfId="0" applyFill="1" applyBorder="1" applyAlignment="1" applyProtection="1">
      <alignment horizontal="left"/>
      <protection locked="0"/>
    </xf>
    <xf numFmtId="0" fontId="0" fillId="2" borderId="32" xfId="0" applyFill="1" applyBorder="1" applyAlignment="1" applyProtection="1">
      <alignment horizontal="left"/>
      <protection locked="0"/>
    </xf>
    <xf numFmtId="0" fontId="7" fillId="4" borderId="23" xfId="0" applyFont="1" applyFill="1" applyBorder="1" applyAlignment="1">
      <alignment horizontal="left" wrapText="1"/>
    </xf>
    <xf numFmtId="0" fontId="7" fillId="4" borderId="28" xfId="0" applyFont="1" applyFill="1" applyBorder="1" applyAlignment="1">
      <alignment horizontal="left" wrapText="1"/>
    </xf>
    <xf numFmtId="0" fontId="29" fillId="0" borderId="4" xfId="372" applyFont="1" applyBorder="1" applyAlignment="1">
      <alignment horizontal="center"/>
    </xf>
    <xf numFmtId="0" fontId="29" fillId="0" borderId="5" xfId="372" applyFont="1" applyBorder="1" applyAlignment="1">
      <alignment horizontal="center"/>
    </xf>
    <xf numFmtId="0" fontId="29" fillId="0" borderId="6" xfId="372" applyFont="1" applyBorder="1" applyAlignment="1">
      <alignment horizontal="center"/>
    </xf>
  </cellXfs>
  <cellStyles count="538">
    <cellStyle name="12" xfId="375" xr:uid="{00000000-0005-0000-0000-000000000000}"/>
    <cellStyle name="14" xfId="376" xr:uid="{00000000-0005-0000-0000-000001000000}"/>
    <cellStyle name="9" xfId="377" xr:uid="{00000000-0005-0000-0000-000002000000}"/>
    <cellStyle name="Besøgt link" xfId="2" builtinId="9" hidden="1"/>
    <cellStyle name="Besøgt link" xfId="4" builtinId="9" hidden="1"/>
    <cellStyle name="Besøgt link" xfId="6" builtinId="9" hidden="1"/>
    <cellStyle name="Besøgt link" xfId="8" builtinId="9" hidden="1"/>
    <cellStyle name="Besøgt link" xfId="10" builtinId="9" hidden="1"/>
    <cellStyle name="Besøgt link" xfId="12" builtinId="9" hidden="1"/>
    <cellStyle name="Besøgt link" xfId="14" builtinId="9" hidden="1"/>
    <cellStyle name="Besøgt link" xfId="16" builtinId="9" hidden="1"/>
    <cellStyle name="Besøgt link" xfId="18" builtinId="9" hidden="1"/>
    <cellStyle name="Besøgt link" xfId="20" builtinId="9" hidden="1"/>
    <cellStyle name="Besøgt link" xfId="22" builtinId="9" hidden="1"/>
    <cellStyle name="Besøgt link" xfId="24" builtinId="9" hidden="1"/>
    <cellStyle name="Besøgt link" xfId="26" builtinId="9" hidden="1"/>
    <cellStyle name="Besøgt link" xfId="28" builtinId="9" hidden="1"/>
    <cellStyle name="Besøgt link" xfId="30" builtinId="9" hidden="1"/>
    <cellStyle name="Besøgt link" xfId="32" builtinId="9" hidden="1"/>
    <cellStyle name="Besøgt link" xfId="34" builtinId="9" hidden="1"/>
    <cellStyle name="Besøgt link" xfId="36" builtinId="9" hidden="1"/>
    <cellStyle name="Besøgt link" xfId="38" builtinId="9" hidden="1"/>
    <cellStyle name="Besøgt link" xfId="40" builtinId="9" hidden="1"/>
    <cellStyle name="Besøgt link" xfId="42" builtinId="9" hidden="1"/>
    <cellStyle name="Besøgt link" xfId="44" builtinId="9" hidden="1"/>
    <cellStyle name="Besøgt link" xfId="46" builtinId="9" hidden="1"/>
    <cellStyle name="Besøgt link" xfId="48" builtinId="9" hidden="1"/>
    <cellStyle name="Besøgt link" xfId="50" builtinId="9" hidden="1"/>
    <cellStyle name="Besøgt link" xfId="52" builtinId="9" hidden="1"/>
    <cellStyle name="Besøgt link" xfId="54" builtinId="9" hidden="1"/>
    <cellStyle name="Besøgt link" xfId="56" builtinId="9" hidden="1"/>
    <cellStyle name="Besøgt link" xfId="58" builtinId="9" hidden="1"/>
    <cellStyle name="Besøgt link" xfId="60" builtinId="9" hidden="1"/>
    <cellStyle name="Besøgt link" xfId="62" builtinId="9" hidden="1"/>
    <cellStyle name="Besøgt link" xfId="64" builtinId="9" hidden="1"/>
    <cellStyle name="Besøgt link" xfId="66" builtinId="9" hidden="1"/>
    <cellStyle name="Besøgt link" xfId="68" builtinId="9" hidden="1"/>
    <cellStyle name="Besøgt link" xfId="70" builtinId="9" hidden="1"/>
    <cellStyle name="Besøgt link" xfId="72" builtinId="9" hidden="1"/>
    <cellStyle name="Besøgt link" xfId="74" builtinId="9" hidden="1"/>
    <cellStyle name="Besøgt link" xfId="76" builtinId="9" hidden="1"/>
    <cellStyle name="Besøgt link" xfId="78" builtinId="9" hidden="1"/>
    <cellStyle name="Besøgt link" xfId="80" builtinId="9" hidden="1"/>
    <cellStyle name="Besøgt link" xfId="82" builtinId="9" hidden="1"/>
    <cellStyle name="Besøgt link" xfId="84" builtinId="9" hidden="1"/>
    <cellStyle name="Besøgt link" xfId="86" builtinId="9" hidden="1"/>
    <cellStyle name="Besøgt link" xfId="88" builtinId="9" hidden="1"/>
    <cellStyle name="Besøgt link" xfId="90" builtinId="9" hidden="1"/>
    <cellStyle name="Besøgt link" xfId="92" builtinId="9" hidden="1"/>
    <cellStyle name="Besøgt link" xfId="94" builtinId="9" hidden="1"/>
    <cellStyle name="Besøgt link" xfId="96" builtinId="9" hidden="1"/>
    <cellStyle name="Besøgt link" xfId="98" builtinId="9" hidden="1"/>
    <cellStyle name="Besøgt link" xfId="100" builtinId="9" hidden="1"/>
    <cellStyle name="Besøgt link" xfId="102" builtinId="9" hidden="1"/>
    <cellStyle name="Besøgt link" xfId="104" builtinId="9" hidden="1"/>
    <cellStyle name="Besøgt link" xfId="106" builtinId="9" hidden="1"/>
    <cellStyle name="Besøgt link" xfId="108" builtinId="9" hidden="1"/>
    <cellStyle name="Besøgt link" xfId="110" builtinId="9" hidden="1"/>
    <cellStyle name="Besøgt link" xfId="112" builtinId="9" hidden="1"/>
    <cellStyle name="Besøgt link" xfId="114" builtinId="9" hidden="1"/>
    <cellStyle name="Besøgt link" xfId="116" builtinId="9" hidden="1"/>
    <cellStyle name="Besøgt link" xfId="118" builtinId="9" hidden="1"/>
    <cellStyle name="Besøgt link" xfId="120" builtinId="9" hidden="1"/>
    <cellStyle name="Besøgt link" xfId="122" builtinId="9" hidden="1"/>
    <cellStyle name="Besøgt link" xfId="124" builtinId="9" hidden="1"/>
    <cellStyle name="Besøgt link" xfId="126" builtinId="9" hidden="1"/>
    <cellStyle name="Besøgt link" xfId="128" builtinId="9" hidden="1"/>
    <cellStyle name="Besøgt link" xfId="130" builtinId="9" hidden="1"/>
    <cellStyle name="Besøgt link" xfId="132" builtinId="9" hidden="1"/>
    <cellStyle name="Besøgt link" xfId="134" builtinId="9" hidden="1"/>
    <cellStyle name="Besøgt link" xfId="136" builtinId="9" hidden="1"/>
    <cellStyle name="Besøgt link" xfId="138" builtinId="9" hidden="1"/>
    <cellStyle name="Besøgt link" xfId="140" builtinId="9" hidden="1"/>
    <cellStyle name="Besøgt link" xfId="142" builtinId="9" hidden="1"/>
    <cellStyle name="Besøgt link" xfId="144" builtinId="9" hidden="1"/>
    <cellStyle name="Besøgt link" xfId="146" builtinId="9" hidden="1"/>
    <cellStyle name="Besøgt link" xfId="148" builtinId="9" hidden="1"/>
    <cellStyle name="Besøgt link" xfId="150" builtinId="9" hidden="1"/>
    <cellStyle name="Besøgt link" xfId="152" builtinId="9" hidden="1"/>
    <cellStyle name="Besøgt link" xfId="154" builtinId="9" hidden="1"/>
    <cellStyle name="Besøgt link" xfId="156" builtinId="9" hidden="1"/>
    <cellStyle name="Besøgt link" xfId="158" builtinId="9" hidden="1"/>
    <cellStyle name="Besøgt link" xfId="160" builtinId="9" hidden="1"/>
    <cellStyle name="Besøgt link" xfId="162" builtinId="9" hidden="1"/>
    <cellStyle name="Besøgt link" xfId="164" builtinId="9" hidden="1"/>
    <cellStyle name="Besøgt link" xfId="166" builtinId="9" hidden="1"/>
    <cellStyle name="Besøgt link" xfId="168" builtinId="9" hidden="1"/>
    <cellStyle name="Besøgt link" xfId="170" builtinId="9" hidden="1"/>
    <cellStyle name="Besøgt link" xfId="172" builtinId="9" hidden="1"/>
    <cellStyle name="Besøgt link" xfId="174" builtinId="9" hidden="1"/>
    <cellStyle name="Besøgt link" xfId="176" builtinId="9" hidden="1"/>
    <cellStyle name="Besøgt link" xfId="178" builtinId="9" hidden="1"/>
    <cellStyle name="Besøgt link" xfId="180" builtinId="9" hidden="1"/>
    <cellStyle name="Besøgt link" xfId="182" builtinId="9" hidden="1"/>
    <cellStyle name="Besøgt link" xfId="184" builtinId="9" hidden="1"/>
    <cellStyle name="Besøgt link" xfId="186" builtinId="9" hidden="1"/>
    <cellStyle name="Besøgt link" xfId="188" builtinId="9" hidden="1"/>
    <cellStyle name="Besøgt link" xfId="190" builtinId="9" hidden="1"/>
    <cellStyle name="Besøgt link" xfId="192" builtinId="9" hidden="1"/>
    <cellStyle name="Besøgt link" xfId="194" builtinId="9" hidden="1"/>
    <cellStyle name="Besøgt link" xfId="196" builtinId="9" hidden="1"/>
    <cellStyle name="Besøgt link" xfId="198" builtinId="9" hidden="1"/>
    <cellStyle name="Besøgt link" xfId="200" builtinId="9" hidden="1"/>
    <cellStyle name="Besøgt link" xfId="202" builtinId="9" hidden="1"/>
    <cellStyle name="Besøgt link" xfId="204" builtinId="9" hidden="1"/>
    <cellStyle name="Besøgt link" xfId="206" builtinId="9" hidden="1"/>
    <cellStyle name="Besøgt link" xfId="208" builtinId="9" hidden="1"/>
    <cellStyle name="Besøgt link" xfId="210" builtinId="9" hidden="1"/>
    <cellStyle name="Besøgt link" xfId="212" builtinId="9" hidden="1"/>
    <cellStyle name="Besøgt link" xfId="214" builtinId="9" hidden="1"/>
    <cellStyle name="Besøgt link" xfId="216" builtinId="9" hidden="1"/>
    <cellStyle name="Besøgt link" xfId="218" builtinId="9" hidden="1"/>
    <cellStyle name="Besøgt link" xfId="220" builtinId="9" hidden="1"/>
    <cellStyle name="Besøgt link" xfId="222" builtinId="9" hidden="1"/>
    <cellStyle name="Besøgt link" xfId="224" builtinId="9" hidden="1"/>
    <cellStyle name="Besøgt link" xfId="226" builtinId="9" hidden="1"/>
    <cellStyle name="Besøgt link" xfId="228" builtinId="9" hidden="1"/>
    <cellStyle name="Besøgt link" xfId="230" builtinId="9" hidden="1"/>
    <cellStyle name="Besøgt link" xfId="232" builtinId="9" hidden="1"/>
    <cellStyle name="Besøgt link" xfId="234" builtinId="9" hidden="1"/>
    <cellStyle name="Besøgt link" xfId="236" builtinId="9" hidden="1"/>
    <cellStyle name="Besøgt link" xfId="238" builtinId="9" hidden="1"/>
    <cellStyle name="Besøgt link" xfId="240" builtinId="9" hidden="1"/>
    <cellStyle name="Besøgt link" xfId="242" builtinId="9" hidden="1"/>
    <cellStyle name="Besøgt link" xfId="244" builtinId="9" hidden="1"/>
    <cellStyle name="Besøgt link" xfId="246" builtinId="9" hidden="1"/>
    <cellStyle name="Besøgt link" xfId="248" builtinId="9" hidden="1"/>
    <cellStyle name="Besøgt link" xfId="250" builtinId="9" hidden="1"/>
    <cellStyle name="Besøgt link" xfId="252" builtinId="9" hidden="1"/>
    <cellStyle name="Besøgt link" xfId="254" builtinId="9" hidden="1"/>
    <cellStyle name="Besøgt link" xfId="256" builtinId="9" hidden="1"/>
    <cellStyle name="Besøgt link" xfId="258" builtinId="9" hidden="1"/>
    <cellStyle name="Besøgt link" xfId="260" builtinId="9" hidden="1"/>
    <cellStyle name="Besøgt link" xfId="262" builtinId="9" hidden="1"/>
    <cellStyle name="Besøgt link" xfId="264" builtinId="9" hidden="1"/>
    <cellStyle name="Besøgt link" xfId="266" builtinId="9" hidden="1"/>
    <cellStyle name="Besøgt link" xfId="268" builtinId="9" hidden="1"/>
    <cellStyle name="Besøgt link" xfId="270" builtinId="9" hidden="1"/>
    <cellStyle name="Besøgt link" xfId="272" builtinId="9" hidden="1"/>
    <cellStyle name="Besøgt link" xfId="274" builtinId="9" hidden="1"/>
    <cellStyle name="Besøgt link" xfId="276" builtinId="9" hidden="1"/>
    <cellStyle name="Besøgt link" xfId="278" builtinId="9" hidden="1"/>
    <cellStyle name="Besøgt link" xfId="280" builtinId="9" hidden="1"/>
    <cellStyle name="Besøgt link" xfId="282" builtinId="9" hidden="1"/>
    <cellStyle name="Besøgt link" xfId="284" builtinId="9" hidden="1"/>
    <cellStyle name="Besøgt link" xfId="286" builtinId="9" hidden="1"/>
    <cellStyle name="Besøgt link" xfId="288" builtinId="9" hidden="1"/>
    <cellStyle name="Besøgt link" xfId="290" builtinId="9" hidden="1"/>
    <cellStyle name="Besøgt link" xfId="292" builtinId="9" hidden="1"/>
    <cellStyle name="Besøgt link" xfId="294" builtinId="9" hidden="1"/>
    <cellStyle name="Besøgt link" xfId="296" builtinId="9" hidden="1"/>
    <cellStyle name="Besøgt link" xfId="298" builtinId="9" hidden="1"/>
    <cellStyle name="Besøgt link" xfId="300" builtinId="9" hidden="1"/>
    <cellStyle name="Besøgt link" xfId="302" builtinId="9" hidden="1"/>
    <cellStyle name="Besøgt link" xfId="304" builtinId="9" hidden="1"/>
    <cellStyle name="Besøgt link" xfId="306" builtinId="9" hidden="1"/>
    <cellStyle name="Besøgt link" xfId="308" builtinId="9" hidden="1"/>
    <cellStyle name="Besøgt link" xfId="310" builtinId="9" hidden="1"/>
    <cellStyle name="Besøgt link" xfId="312" builtinId="9" hidden="1"/>
    <cellStyle name="Besøgt link" xfId="314" builtinId="9" hidden="1"/>
    <cellStyle name="Besøgt link" xfId="316" builtinId="9" hidden="1"/>
    <cellStyle name="Besøgt link" xfId="318" builtinId="9" hidden="1"/>
    <cellStyle name="Besøgt link" xfId="320" builtinId="9" hidden="1"/>
    <cellStyle name="Besøgt link" xfId="322" builtinId="9" hidden="1"/>
    <cellStyle name="Besøgt link" xfId="324" builtinId="9" hidden="1"/>
    <cellStyle name="Besøgt link" xfId="326" builtinId="9" hidden="1"/>
    <cellStyle name="Besøgt link" xfId="328" builtinId="9" hidden="1"/>
    <cellStyle name="Besøgt link" xfId="330" builtinId="9" hidden="1"/>
    <cellStyle name="Besøgt link" xfId="332" builtinId="9" hidden="1"/>
    <cellStyle name="Besøgt link" xfId="334" builtinId="9" hidden="1"/>
    <cellStyle name="Besøgt link" xfId="336" builtinId="9" hidden="1"/>
    <cellStyle name="Besøgt link" xfId="338" builtinId="9" hidden="1"/>
    <cellStyle name="Besøgt link" xfId="340" builtinId="9" hidden="1"/>
    <cellStyle name="Besøgt link" xfId="342" builtinId="9" hidden="1"/>
    <cellStyle name="Besøgt link" xfId="345" builtinId="9" hidden="1"/>
    <cellStyle name="Besøgt link" xfId="347" builtinId="9" hidden="1"/>
    <cellStyle name="Besøgt link" xfId="349" builtinId="9" hidden="1"/>
    <cellStyle name="Besøgt link" xfId="351" builtinId="9" hidden="1"/>
    <cellStyle name="Besøgt link" xfId="353" builtinId="9" hidden="1"/>
    <cellStyle name="Besøgt link" xfId="355" builtinId="9" hidden="1"/>
    <cellStyle name="Besøgt link" xfId="357" builtinId="9" hidden="1"/>
    <cellStyle name="Besøgt link" xfId="359" builtinId="9" hidden="1"/>
    <cellStyle name="Besøgt link" xfId="361" builtinId="9" hidden="1"/>
    <cellStyle name="Besøgt link" xfId="363" builtinId="9" hidden="1"/>
    <cellStyle name="Besøgt link" xfId="365" builtinId="9" hidden="1"/>
    <cellStyle name="Besøgt link" xfId="367" builtinId="9" hidden="1"/>
    <cellStyle name="Besøgt link" xfId="369" builtinId="9" hidden="1"/>
    <cellStyle name="Besøgt link" xfId="371" builtinId="9" hidden="1"/>
    <cellStyle name="Besøgt link" xfId="396" builtinId="9" hidden="1"/>
    <cellStyle name="Besøgt link" xfId="398" builtinId="9" hidden="1"/>
    <cellStyle name="Besøgt link" xfId="400" builtinId="9" hidden="1"/>
    <cellStyle name="Besøgt link" xfId="402" builtinId="9" hidden="1"/>
    <cellStyle name="Besøgt link" xfId="404" builtinId="9" hidden="1"/>
    <cellStyle name="Besøgt link" xfId="406" builtinId="9" hidden="1"/>
    <cellStyle name="Besøgt link" xfId="408" builtinId="9" hidden="1"/>
    <cellStyle name="Besøgt link" xfId="410" builtinId="9" hidden="1"/>
    <cellStyle name="Besøgt link" xfId="412" builtinId="9" hidden="1"/>
    <cellStyle name="Besøgt link" xfId="414" builtinId="9" hidden="1"/>
    <cellStyle name="Besøgt link" xfId="416" builtinId="9" hidden="1"/>
    <cellStyle name="Besøgt link" xfId="418" builtinId="9" hidden="1"/>
    <cellStyle name="Besøgt link" xfId="420" builtinId="9" hidden="1"/>
    <cellStyle name="Besøgt link" xfId="422" builtinId="9" hidden="1"/>
    <cellStyle name="Besøgt link" xfId="424" builtinId="9" hidden="1"/>
    <cellStyle name="Besøgt link" xfId="426" builtinId="9" hidden="1"/>
    <cellStyle name="Besøgt link" xfId="428" builtinId="9" hidden="1"/>
    <cellStyle name="Besøgt link" xfId="430" builtinId="9" hidden="1"/>
    <cellStyle name="Besøgt link" xfId="432" builtinId="9" hidden="1"/>
    <cellStyle name="Besøgt link" xfId="434" builtinId="9" hidden="1"/>
    <cellStyle name="Besøgt link" xfId="436" builtinId="9" hidden="1"/>
    <cellStyle name="Besøgt link" xfId="438" builtinId="9" hidden="1"/>
    <cellStyle name="Besøgt link" xfId="440" builtinId="9" hidden="1"/>
    <cellStyle name="Besøgt link" xfId="442" builtinId="9" hidden="1"/>
    <cellStyle name="Besøgt link" xfId="444" builtinId="9" hidden="1"/>
    <cellStyle name="Besøgt link" xfId="446" builtinId="9" hidden="1"/>
    <cellStyle name="Besøgt link" xfId="448" builtinId="9" hidden="1"/>
    <cellStyle name="Besøgt link" xfId="450" builtinId="9" hidden="1"/>
    <cellStyle name="Besøgt link" xfId="452" builtinId="9" hidden="1"/>
    <cellStyle name="Besøgt link" xfId="454" builtinId="9" hidden="1"/>
    <cellStyle name="Besøgt link" xfId="456" builtinId="9" hidden="1"/>
    <cellStyle name="Besøgt link" xfId="458" builtinId="9" hidden="1"/>
    <cellStyle name="Besøgt link" xfId="460" builtinId="9" hidden="1"/>
    <cellStyle name="Besøgt link" xfId="462" builtinId="9" hidden="1"/>
    <cellStyle name="Besøgt link" xfId="464" builtinId="9" hidden="1"/>
    <cellStyle name="Besøgt link" xfId="466" builtinId="9" hidden="1"/>
    <cellStyle name="Besøgt link" xfId="468" builtinId="9" hidden="1"/>
    <cellStyle name="Besøgt link" xfId="470" builtinId="9" hidden="1"/>
    <cellStyle name="Besøgt link" xfId="472" builtinId="9" hidden="1"/>
    <cellStyle name="Besøgt link" xfId="474" builtinId="9" hidden="1"/>
    <cellStyle name="Besøgt link" xfId="476" builtinId="9" hidden="1"/>
    <cellStyle name="Besøgt link" xfId="478" builtinId="9" hidden="1"/>
    <cellStyle name="Besøgt link" xfId="480" builtinId="9" hidden="1"/>
    <cellStyle name="Besøgt link" xfId="482" builtinId="9" hidden="1"/>
    <cellStyle name="Besøgt link" xfId="484" builtinId="9" hidden="1"/>
    <cellStyle name="Besøgt link" xfId="486" builtinId="9" hidden="1"/>
    <cellStyle name="Besøgt link" xfId="488" builtinId="9" hidden="1"/>
    <cellStyle name="Besøgt link" xfId="490" builtinId="9" hidden="1"/>
    <cellStyle name="Besøgt link" xfId="492" builtinId="9" hidden="1"/>
    <cellStyle name="Besøgt link" xfId="494" builtinId="9" hidden="1"/>
    <cellStyle name="Besøgt link" xfId="496" builtinId="9" hidden="1"/>
    <cellStyle name="Besøgt link" xfId="498" builtinId="9" hidden="1"/>
    <cellStyle name="Besøgt link" xfId="500" builtinId="9" hidden="1"/>
    <cellStyle name="Besøgt link" xfId="502" builtinId="9" hidden="1"/>
    <cellStyle name="Besøgt link" xfId="504" builtinId="9" hidden="1"/>
    <cellStyle name="Besøgt link" xfId="507" builtinId="9" hidden="1"/>
    <cellStyle name="Besøgt link" xfId="509" builtinId="9" hidden="1"/>
    <cellStyle name="Besøgt link" xfId="511" builtinId="9" hidden="1"/>
    <cellStyle name="Besøgt link" xfId="513" builtinId="9" hidden="1"/>
    <cellStyle name="Besøgt link" xfId="515" builtinId="9" hidden="1"/>
    <cellStyle name="Besøgt link" xfId="517" builtinId="9" hidden="1"/>
    <cellStyle name="Besøgt link" xfId="519" builtinId="9" hidden="1"/>
    <cellStyle name="Besøgt link" xfId="521" builtinId="9" hidden="1"/>
    <cellStyle name="Besøgt link" xfId="523" builtinId="9" hidden="1"/>
    <cellStyle name="Besøgt link" xfId="525" builtinId="9" hidden="1"/>
    <cellStyle name="Besøgt link" xfId="527" builtinId="9" hidden="1"/>
    <cellStyle name="Besøgt link" xfId="529" builtinId="9" hidden="1"/>
    <cellStyle name="Besøgt link" xfId="531" builtinId="9" hidden="1"/>
    <cellStyle name="Besøgt link" xfId="533" builtinId="9" hidden="1"/>
    <cellStyle name="Besøgt link" xfId="535" builtinId="9" hidden="1"/>
    <cellStyle name="Besøgt link" xfId="537" builtinId="9" hidden="1"/>
    <cellStyle name="Chicago" xfId="378" xr:uid="{00000000-0005-0000-0000-000003010000}"/>
    <cellStyle name="Comma [0]_Halvårskalender 1999/00" xfId="379" xr:uid="{00000000-0005-0000-0000-000004010000}"/>
    <cellStyle name="Comma_Halvårskalender 1999/00" xfId="380" xr:uid="{00000000-0005-0000-0000-000005010000}"/>
    <cellStyle name="courier" xfId="381" xr:uid="{00000000-0005-0000-0000-000006010000}"/>
    <cellStyle name="Currency [0]_Halvårskalender 1999/00" xfId="382" xr:uid="{00000000-0005-0000-0000-000007010000}"/>
    <cellStyle name="Currency_Halvårskalender 1999/00" xfId="383" xr:uid="{00000000-0005-0000-0000-000008010000}"/>
    <cellStyle name="Followed Hyperlink" xfId="384" xr:uid="{00000000-0005-0000-0000-000009010000}"/>
    <cellStyle name="Komma" xfId="343" builtinId="3"/>
    <cellStyle name="komma0" xfId="385" xr:uid="{00000000-0005-0000-0000-00000B020000}"/>
    <cellStyle name="komma1" xfId="386" xr:uid="{00000000-0005-0000-0000-00000C020000}"/>
    <cellStyle name="komma2" xfId="387" xr:uid="{00000000-0005-0000-0000-00000D020000}"/>
    <cellStyle name="komma4" xfId="388" xr:uid="{00000000-0005-0000-0000-00000E020000}"/>
    <cellStyle name="kr" xfId="389" xr:uid="{00000000-0005-0000-0000-00000F020000}"/>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Link" xfId="287" builtinId="8" hidden="1"/>
    <cellStyle name="Link" xfId="289" builtinId="8" hidden="1"/>
    <cellStyle name="Link" xfId="291" builtinId="8" hidden="1"/>
    <cellStyle name="Link" xfId="293" builtinId="8" hidden="1"/>
    <cellStyle name="Link" xfId="295" builtinId="8" hidden="1"/>
    <cellStyle name="Link" xfId="297" builtinId="8" hidden="1"/>
    <cellStyle name="Link" xfId="299" builtinId="8" hidden="1"/>
    <cellStyle name="Link" xfId="301" builtinId="8" hidden="1"/>
    <cellStyle name="Link" xfId="303" builtinId="8" hidden="1"/>
    <cellStyle name="Link" xfId="305" builtinId="8" hidden="1"/>
    <cellStyle name="Link" xfId="307" builtinId="8" hidden="1"/>
    <cellStyle name="Link" xfId="309" builtinId="8" hidden="1"/>
    <cellStyle name="Link" xfId="311" builtinId="8" hidden="1"/>
    <cellStyle name="Link" xfId="313" builtinId="8" hidden="1"/>
    <cellStyle name="Link" xfId="315" builtinId="8" hidden="1"/>
    <cellStyle name="Link" xfId="317" builtinId="8" hidden="1"/>
    <cellStyle name="Link" xfId="319" builtinId="8" hidden="1"/>
    <cellStyle name="Link" xfId="321" builtinId="8" hidden="1"/>
    <cellStyle name="Link" xfId="323" builtinId="8" hidden="1"/>
    <cellStyle name="Link" xfId="325" builtinId="8" hidden="1"/>
    <cellStyle name="Link" xfId="327" builtinId="8" hidden="1"/>
    <cellStyle name="Link" xfId="329" builtinId="8" hidden="1"/>
    <cellStyle name="Link" xfId="331" builtinId="8" hidden="1"/>
    <cellStyle name="Link" xfId="333" builtinId="8" hidden="1"/>
    <cellStyle name="Link" xfId="335" builtinId="8" hidden="1"/>
    <cellStyle name="Link" xfId="337" builtinId="8" hidden="1"/>
    <cellStyle name="Link" xfId="339" builtinId="8" hidden="1"/>
    <cellStyle name="Link" xfId="341" builtinId="8" hidden="1"/>
    <cellStyle name="Link" xfId="344" builtinId="8" hidden="1"/>
    <cellStyle name="Link" xfId="346" builtinId="8" hidden="1"/>
    <cellStyle name="Link" xfId="348" builtinId="8" hidden="1"/>
    <cellStyle name="Link" xfId="350" builtinId="8" hidden="1"/>
    <cellStyle name="Link" xfId="352" builtinId="8" hidden="1"/>
    <cellStyle name="Link" xfId="354" builtinId="8" hidden="1"/>
    <cellStyle name="Link" xfId="356" builtinId="8" hidden="1"/>
    <cellStyle name="Link" xfId="358" builtinId="8" hidden="1"/>
    <cellStyle name="Link" xfId="360" builtinId="8" hidden="1"/>
    <cellStyle name="Link" xfId="362" builtinId="8" hidden="1"/>
    <cellStyle name="Link" xfId="364" builtinId="8" hidden="1"/>
    <cellStyle name="Link" xfId="366" builtinId="8" hidden="1"/>
    <cellStyle name="Link" xfId="368" builtinId="8" hidden="1"/>
    <cellStyle name="Link" xfId="370" builtinId="8" hidden="1"/>
    <cellStyle name="Link" xfId="395" builtinId="8" hidden="1"/>
    <cellStyle name="Link" xfId="397" builtinId="8" hidden="1"/>
    <cellStyle name="Link" xfId="399" builtinId="8" hidden="1"/>
    <cellStyle name="Link" xfId="401" builtinId="8" hidden="1"/>
    <cellStyle name="Link" xfId="403" builtinId="8" hidden="1"/>
    <cellStyle name="Link" xfId="405" builtinId="8" hidden="1"/>
    <cellStyle name="Link" xfId="407" builtinId="8" hidden="1"/>
    <cellStyle name="Link" xfId="409" builtinId="8" hidden="1"/>
    <cellStyle name="Link" xfId="411" builtinId="8" hidden="1"/>
    <cellStyle name="Link" xfId="413" builtinId="8" hidden="1"/>
    <cellStyle name="Link" xfId="415" builtinId="8" hidden="1"/>
    <cellStyle name="Link" xfId="417" builtinId="8" hidden="1"/>
    <cellStyle name="Link" xfId="419" builtinId="8" hidden="1"/>
    <cellStyle name="Link" xfId="421" builtinId="8" hidden="1"/>
    <cellStyle name="Link" xfId="423" builtinId="8" hidden="1"/>
    <cellStyle name="Link" xfId="425" builtinId="8" hidden="1"/>
    <cellStyle name="Link" xfId="427" builtinId="8" hidden="1"/>
    <cellStyle name="Link" xfId="429" builtinId="8" hidden="1"/>
    <cellStyle name="Link" xfId="431" builtinId="8" hidden="1"/>
    <cellStyle name="Link" xfId="433" builtinId="8" hidden="1"/>
    <cellStyle name="Link" xfId="435" builtinId="8" hidden="1"/>
    <cellStyle name="Link" xfId="437" builtinId="8" hidden="1"/>
    <cellStyle name="Link" xfId="439" builtinId="8" hidden="1"/>
    <cellStyle name="Link" xfId="441" builtinId="8" hidden="1"/>
    <cellStyle name="Link" xfId="443" builtinId="8" hidden="1"/>
    <cellStyle name="Link" xfId="445" builtinId="8" hidden="1"/>
    <cellStyle name="Link" xfId="447" builtinId="8" hidden="1"/>
    <cellStyle name="Link" xfId="449" builtinId="8" hidden="1"/>
    <cellStyle name="Link" xfId="451" builtinId="8" hidden="1"/>
    <cellStyle name="Link" xfId="453" builtinId="8" hidden="1"/>
    <cellStyle name="Link" xfId="455" builtinId="8" hidden="1"/>
    <cellStyle name="Link" xfId="457" builtinId="8" hidden="1"/>
    <cellStyle name="Link" xfId="459" builtinId="8" hidden="1"/>
    <cellStyle name="Link" xfId="461" builtinId="8" hidden="1"/>
    <cellStyle name="Link" xfId="463" builtinId="8" hidden="1"/>
    <cellStyle name="Link" xfId="465" builtinId="8" hidden="1"/>
    <cellStyle name="Link" xfId="467" builtinId="8" hidden="1"/>
    <cellStyle name="Link" xfId="469" builtinId="8" hidden="1"/>
    <cellStyle name="Link" xfId="471" builtinId="8" hidden="1"/>
    <cellStyle name="Link" xfId="473" builtinId="8" hidden="1"/>
    <cellStyle name="Link" xfId="475" builtinId="8" hidden="1"/>
    <cellStyle name="Link" xfId="477" builtinId="8" hidden="1"/>
    <cellStyle name="Link" xfId="479" builtinId="8" hidden="1"/>
    <cellStyle name="Link" xfId="481" builtinId="8" hidden="1"/>
    <cellStyle name="Link" xfId="483" builtinId="8" hidden="1"/>
    <cellStyle name="Link" xfId="485" builtinId="8" hidden="1"/>
    <cellStyle name="Link" xfId="487" builtinId="8" hidden="1"/>
    <cellStyle name="Link" xfId="489" builtinId="8" hidden="1"/>
    <cellStyle name="Link" xfId="491" builtinId="8" hidden="1"/>
    <cellStyle name="Link" xfId="493" builtinId="8" hidden="1"/>
    <cellStyle name="Link" xfId="495" builtinId="8" hidden="1"/>
    <cellStyle name="Link" xfId="497" builtinId="8" hidden="1"/>
    <cellStyle name="Link" xfId="499" builtinId="8" hidden="1"/>
    <cellStyle name="Link" xfId="501" builtinId="8" hidden="1"/>
    <cellStyle name="Link" xfId="503" builtinId="8" hidden="1"/>
    <cellStyle name="Link" xfId="506" builtinId="8" hidden="1"/>
    <cellStyle name="Link" xfId="508" builtinId="8" hidden="1"/>
    <cellStyle name="Link" xfId="510" builtinId="8" hidden="1"/>
    <cellStyle name="Link" xfId="512" builtinId="8" hidden="1"/>
    <cellStyle name="Link" xfId="514" builtinId="8" hidden="1"/>
    <cellStyle name="Link" xfId="516" builtinId="8" hidden="1"/>
    <cellStyle name="Link" xfId="518" builtinId="8" hidden="1"/>
    <cellStyle name="Link" xfId="520" builtinId="8" hidden="1"/>
    <cellStyle name="Link" xfId="522" builtinId="8" hidden="1"/>
    <cellStyle name="Link" xfId="524" builtinId="8" hidden="1"/>
    <cellStyle name="Link" xfId="526" builtinId="8" hidden="1"/>
    <cellStyle name="Link" xfId="528" builtinId="8" hidden="1"/>
    <cellStyle name="Link" xfId="530" builtinId="8" hidden="1"/>
    <cellStyle name="Link" xfId="532" builtinId="8" hidden="1"/>
    <cellStyle name="Link" xfId="534" builtinId="8" hidden="1"/>
    <cellStyle name="Link" xfId="536" builtinId="8" hidden="1"/>
    <cellStyle name="Normal" xfId="0" builtinId="0"/>
    <cellStyle name="Normal 2" xfId="372" xr:uid="{00000000-0005-0000-0000-000011020000}"/>
    <cellStyle name="Normal_Halvårskalender 1999/00" xfId="373" xr:uid="{00000000-0005-0000-0000-000012020000}"/>
    <cellStyle name="Normal_Vejledning98" xfId="505" xr:uid="{00000000-0005-0000-0000-000013020000}"/>
    <cellStyle name="Normal_År" xfId="374" xr:uid="{00000000-0005-0000-0000-000014020000}"/>
    <cellStyle name="prc0" xfId="390" xr:uid="{00000000-0005-0000-0000-000015020000}"/>
    <cellStyle name="prc1" xfId="391" xr:uid="{00000000-0005-0000-0000-000016020000}"/>
    <cellStyle name="prc2" xfId="392" xr:uid="{00000000-0005-0000-0000-000017020000}"/>
    <cellStyle name="skkode" xfId="393" xr:uid="{00000000-0005-0000-0000-000018020000}"/>
    <cellStyle name="skygget" xfId="394" xr:uid="{00000000-0005-0000-0000-000019020000}"/>
  </cellStyles>
  <dxfs count="450">
    <dxf>
      <font>
        <color theme="0"/>
      </font>
      <fill>
        <patternFill>
          <bgColor theme="1"/>
        </patternFill>
      </fill>
    </dxf>
    <dxf>
      <font>
        <color theme="1"/>
      </font>
      <fill>
        <patternFill>
          <bgColor rgb="FFFF2F82"/>
        </patternFill>
      </fill>
    </dxf>
    <dxf>
      <font>
        <color theme="1"/>
      </font>
      <fill>
        <patternFill>
          <bgColor theme="3" tint="0.59996337778862885"/>
        </patternFill>
      </fill>
    </dxf>
    <dxf>
      <font>
        <color theme="1"/>
      </font>
      <fill>
        <patternFill>
          <bgColor rgb="FFFFFF00"/>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FF2F82"/>
        </patternFill>
      </fill>
    </dxf>
    <dxf>
      <font>
        <color theme="1"/>
      </font>
      <fill>
        <patternFill>
          <bgColor theme="3" tint="0.59996337778862885"/>
        </patternFill>
      </fill>
    </dxf>
    <dxf>
      <font>
        <color theme="1"/>
      </font>
      <fill>
        <patternFill>
          <bgColor rgb="FFFFFF00"/>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FF2F82"/>
        </patternFill>
      </fill>
    </dxf>
    <dxf>
      <font>
        <color theme="1"/>
      </font>
      <fill>
        <patternFill>
          <bgColor theme="3" tint="0.59996337778862885"/>
        </patternFill>
      </fill>
    </dxf>
    <dxf>
      <font>
        <color theme="1"/>
      </font>
      <fill>
        <patternFill>
          <bgColor rgb="FFFFFF00"/>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FF2F82"/>
        </patternFill>
      </fill>
    </dxf>
    <dxf>
      <font>
        <color theme="1"/>
      </font>
      <fill>
        <patternFill>
          <bgColor theme="3" tint="0.59996337778862885"/>
        </patternFill>
      </fill>
    </dxf>
    <dxf>
      <font>
        <color theme="1"/>
      </font>
      <fill>
        <patternFill>
          <bgColor rgb="FFFFFF00"/>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FF2F82"/>
        </patternFill>
      </fill>
    </dxf>
    <dxf>
      <font>
        <color theme="1"/>
      </font>
      <fill>
        <patternFill>
          <bgColor theme="3" tint="0.59996337778862885"/>
        </patternFill>
      </fill>
    </dxf>
    <dxf>
      <font>
        <color theme="1"/>
      </font>
      <fill>
        <patternFill>
          <bgColor rgb="FFFFFF00"/>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FF2F82"/>
        </patternFill>
      </fill>
    </dxf>
    <dxf>
      <font>
        <color theme="1"/>
      </font>
      <fill>
        <patternFill>
          <bgColor theme="3" tint="0.59996337778862885"/>
        </patternFill>
      </fill>
    </dxf>
    <dxf>
      <font>
        <color theme="1"/>
      </font>
      <fill>
        <patternFill>
          <bgColor rgb="FFFFFF00"/>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theme="7"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0"/>
      </font>
      <fill>
        <patternFill>
          <bgColor theme="1"/>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0"/>
      </font>
      <fill>
        <patternFill>
          <bgColor theme="1"/>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0"/>
      </font>
      <fill>
        <patternFill>
          <bgColor theme="1"/>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0"/>
      </font>
      <fill>
        <patternFill>
          <bgColor theme="1"/>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0"/>
      </font>
      <fill>
        <patternFill>
          <bgColor theme="1"/>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0"/>
      </font>
      <fill>
        <patternFill>
          <bgColor theme="1"/>
        </patternFill>
      </fill>
    </dxf>
    <dxf>
      <font>
        <color theme="1"/>
      </font>
      <fill>
        <patternFill patternType="none">
          <bgColor auto="1"/>
        </patternFill>
      </fill>
    </dxf>
    <dxf>
      <font>
        <color theme="1"/>
      </font>
      <fill>
        <patternFill>
          <bgColor rgb="FFFF2F82"/>
        </patternFill>
      </fill>
    </dxf>
    <dxf>
      <font>
        <color theme="1"/>
      </font>
      <fill>
        <patternFill>
          <bgColor theme="7"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9" tint="0.59996337778862885"/>
        </patternFill>
      </fill>
    </dxf>
    <dxf>
      <font>
        <color theme="1"/>
      </font>
      <fill>
        <patternFill>
          <bgColor theme="6" tint="0.39994506668294322"/>
        </patternFill>
      </fill>
    </dxf>
    <dxf>
      <font>
        <color theme="1"/>
      </font>
      <fill>
        <patternFill>
          <bgColor theme="0" tint="-0.14996795556505021"/>
        </patternFill>
      </fill>
    </dxf>
    <dxf>
      <font>
        <color theme="0"/>
      </font>
      <fill>
        <patternFill>
          <bgColor theme="1"/>
        </patternFill>
      </fill>
    </dxf>
    <dxf>
      <font>
        <color theme="1"/>
      </font>
      <fill>
        <patternFill patternType="none">
          <bgColor auto="1"/>
        </patternFill>
      </fill>
    </dxf>
    <dxf>
      <font>
        <color theme="1"/>
      </font>
      <fill>
        <patternFill>
          <bgColor rgb="FFFF2F82"/>
        </patternFill>
      </fill>
    </dxf>
    <dxf>
      <font>
        <color theme="1"/>
      </font>
      <fill>
        <patternFill>
          <bgColor theme="7"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9" tint="0.59996337778862885"/>
        </patternFill>
      </fill>
    </dxf>
    <dxf>
      <font>
        <color theme="1"/>
      </font>
      <fill>
        <patternFill>
          <bgColor theme="6" tint="0.39994506668294322"/>
        </patternFill>
      </fill>
    </dxf>
    <dxf>
      <font>
        <color theme="1"/>
      </font>
      <fill>
        <patternFill>
          <bgColor theme="0" tint="-0.14996795556505021"/>
        </patternFill>
      </fill>
    </dxf>
    <dxf>
      <font>
        <color theme="0"/>
      </font>
      <fill>
        <patternFill>
          <bgColor theme="1"/>
        </patternFill>
      </fill>
    </dxf>
    <dxf>
      <font>
        <color theme="1"/>
      </font>
      <fill>
        <patternFill patternType="none">
          <bgColor auto="1"/>
        </patternFill>
      </fill>
    </dxf>
    <dxf>
      <font>
        <color theme="1"/>
      </font>
      <fill>
        <patternFill>
          <bgColor rgb="FFFF2F82"/>
        </patternFill>
      </fill>
    </dxf>
    <dxf>
      <font>
        <color theme="1"/>
      </font>
      <fill>
        <patternFill>
          <bgColor theme="7"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9" tint="0.59996337778862885"/>
        </patternFill>
      </fill>
    </dxf>
    <dxf>
      <font>
        <color theme="1"/>
      </font>
      <fill>
        <patternFill>
          <bgColor theme="6" tint="0.39994506668294322"/>
        </patternFill>
      </fill>
    </dxf>
    <dxf>
      <font>
        <color theme="1"/>
      </font>
      <fill>
        <patternFill>
          <bgColor theme="0" tint="-0.14996795556505021"/>
        </patternFill>
      </fill>
    </dxf>
    <dxf>
      <font>
        <color theme="0"/>
      </font>
      <fill>
        <patternFill>
          <bgColor theme="1"/>
        </patternFill>
      </fill>
    </dxf>
    <dxf>
      <font>
        <color theme="1"/>
      </font>
      <fill>
        <patternFill patternType="none">
          <bgColor auto="1"/>
        </patternFill>
      </fill>
    </dxf>
    <dxf>
      <font>
        <color theme="1"/>
      </font>
      <fill>
        <patternFill>
          <bgColor rgb="FFFF2F82"/>
        </patternFill>
      </fill>
    </dxf>
    <dxf>
      <font>
        <color theme="1"/>
      </font>
      <fill>
        <patternFill>
          <bgColor theme="7"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theme="4"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9" tint="0.59996337778862885"/>
        </patternFill>
      </fill>
    </dxf>
    <dxf>
      <font>
        <color theme="1"/>
      </font>
      <fill>
        <patternFill>
          <bgColor theme="6" tint="0.39994506668294322"/>
        </patternFill>
      </fill>
    </dxf>
    <dxf>
      <font>
        <color theme="1"/>
      </font>
      <fill>
        <patternFill>
          <bgColor theme="0" tint="-0.14996795556505021"/>
        </patternFill>
      </fill>
    </dxf>
    <dxf>
      <font>
        <color theme="0"/>
      </font>
      <fill>
        <patternFill>
          <bgColor theme="1"/>
        </patternFill>
      </fill>
    </dxf>
    <dxf>
      <font>
        <color theme="1"/>
      </font>
      <fill>
        <patternFill patternType="none">
          <bgColor auto="1"/>
        </patternFill>
      </fill>
    </dxf>
    <dxf>
      <font>
        <color theme="1"/>
      </font>
      <fill>
        <patternFill>
          <bgColor rgb="FFFF2F82"/>
        </patternFill>
      </fill>
    </dxf>
    <dxf>
      <font>
        <color theme="1"/>
      </font>
      <fill>
        <patternFill>
          <bgColor theme="7"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theme="4" tint="0.39994506668294322"/>
        </patternFill>
      </fill>
    </dxf>
    <dxf>
      <font>
        <color theme="0"/>
      </font>
      <fill>
        <patternFill>
          <bgColor theme="1"/>
        </patternFill>
      </fill>
    </dxf>
    <dxf>
      <font>
        <color theme="1"/>
      </font>
      <fill>
        <patternFill>
          <bgColor theme="5" tint="0.59996337778862885"/>
        </patternFill>
      </fill>
    </dxf>
    <dxf>
      <font>
        <color theme="1"/>
      </font>
      <fill>
        <patternFill>
          <bgColor theme="9" tint="0.59996337778862885"/>
        </patternFill>
      </fill>
    </dxf>
    <dxf>
      <font>
        <color theme="1"/>
      </font>
      <fill>
        <patternFill>
          <bgColor theme="6" tint="0.39994506668294322"/>
        </patternFill>
      </fill>
    </dxf>
    <dxf>
      <font>
        <color theme="1"/>
      </font>
      <fill>
        <patternFill>
          <bgColor theme="0" tint="-0.14996795556505021"/>
        </patternFill>
      </fill>
    </dxf>
    <dxf>
      <font>
        <color theme="1"/>
      </font>
      <fill>
        <patternFill patternType="none">
          <bgColor auto="1"/>
        </patternFill>
      </fill>
    </dxf>
    <dxf>
      <font>
        <color theme="1"/>
      </font>
      <fill>
        <patternFill>
          <bgColor rgb="FFFF2F82"/>
        </patternFill>
      </fill>
    </dxf>
    <dxf>
      <font>
        <color theme="1"/>
      </font>
      <fill>
        <patternFill>
          <bgColor theme="7"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9" tint="0.59996337778862885"/>
        </patternFill>
      </fill>
    </dxf>
    <dxf>
      <font>
        <color theme="1"/>
      </font>
      <fill>
        <patternFill>
          <bgColor theme="6" tint="0.39994506668294322"/>
        </patternFill>
      </fill>
    </dxf>
    <dxf>
      <font>
        <color theme="1"/>
      </font>
      <fill>
        <patternFill>
          <bgColor theme="0" tint="-0.14996795556505021"/>
        </patternFill>
      </fill>
    </dxf>
    <dxf>
      <font>
        <color theme="0"/>
      </font>
      <fill>
        <patternFill>
          <bgColor theme="1"/>
        </patternFill>
      </fill>
    </dxf>
    <dxf>
      <font>
        <color theme="1"/>
      </font>
      <fill>
        <patternFill patternType="none">
          <bgColor auto="1"/>
        </patternFill>
      </fill>
    </dxf>
    <dxf>
      <font>
        <color theme="1"/>
      </font>
      <fill>
        <patternFill>
          <bgColor rgb="FFFF2F82"/>
        </patternFill>
      </fill>
    </dxf>
    <dxf>
      <font>
        <color theme="1"/>
      </font>
      <fill>
        <patternFill>
          <bgColor theme="7"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9" tint="0.59996337778862885"/>
        </patternFill>
      </fill>
    </dxf>
    <dxf>
      <font>
        <color theme="1"/>
      </font>
      <fill>
        <patternFill>
          <bgColor theme="6" tint="0.39994506668294322"/>
        </patternFill>
      </fill>
    </dxf>
    <dxf>
      <font>
        <color theme="1"/>
      </font>
      <fill>
        <patternFill>
          <bgColor theme="0" tint="-0.14996795556505021"/>
        </patternFill>
      </fill>
    </dxf>
    <dxf>
      <font>
        <color theme="0"/>
      </font>
      <fill>
        <patternFill>
          <bgColor theme="1"/>
        </patternFill>
      </fill>
    </dxf>
    <dxf>
      <font>
        <color theme="1"/>
      </font>
      <fill>
        <patternFill patternType="none">
          <bgColor auto="1"/>
        </patternFill>
      </fill>
    </dxf>
    <dxf>
      <font>
        <color theme="1"/>
      </font>
      <fill>
        <patternFill>
          <bgColor rgb="FFFF2F82"/>
        </patternFill>
      </fill>
    </dxf>
    <dxf>
      <font>
        <color theme="1"/>
      </font>
      <fill>
        <patternFill>
          <bgColor theme="7"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9" tint="0.59996337778862885"/>
        </patternFill>
      </fill>
    </dxf>
    <dxf>
      <font>
        <color theme="1"/>
      </font>
      <fill>
        <patternFill>
          <bgColor theme="6" tint="0.39994506668294322"/>
        </patternFill>
      </fill>
    </dxf>
    <dxf>
      <font>
        <color theme="1"/>
      </font>
      <fill>
        <patternFill>
          <bgColor theme="0" tint="-0.14996795556505021"/>
        </patternFill>
      </fill>
    </dxf>
    <dxf>
      <font>
        <color theme="0"/>
      </font>
      <fill>
        <patternFill>
          <bgColor theme="1"/>
        </patternFill>
      </fill>
    </dxf>
    <dxf>
      <font>
        <color theme="1"/>
      </font>
      <fill>
        <patternFill patternType="none">
          <bgColor auto="1"/>
        </patternFill>
      </fill>
    </dxf>
    <dxf>
      <font>
        <color theme="1"/>
      </font>
      <fill>
        <patternFill>
          <bgColor rgb="FFFF2F82"/>
        </patternFill>
      </fill>
    </dxf>
    <dxf>
      <font>
        <color theme="1"/>
      </font>
      <fill>
        <patternFill>
          <bgColor theme="7"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9" tint="0.59996337778862885"/>
        </patternFill>
      </fill>
    </dxf>
    <dxf>
      <font>
        <color theme="1"/>
      </font>
      <fill>
        <patternFill>
          <bgColor theme="6" tint="0.39994506668294322"/>
        </patternFill>
      </fill>
    </dxf>
    <dxf>
      <font>
        <color theme="1"/>
      </font>
      <fill>
        <patternFill>
          <bgColor theme="0" tint="-0.14996795556505021"/>
        </patternFill>
      </fill>
    </dxf>
    <dxf>
      <font>
        <color theme="0"/>
      </font>
      <fill>
        <patternFill>
          <bgColor theme="1"/>
        </patternFill>
      </fill>
    </dxf>
    <dxf>
      <font>
        <color theme="1"/>
      </font>
      <fill>
        <patternFill patternType="none">
          <bgColor auto="1"/>
        </patternFill>
      </fill>
    </dxf>
    <dxf>
      <font>
        <color theme="1"/>
      </font>
      <fill>
        <patternFill>
          <bgColor rgb="FFFF2F82"/>
        </patternFill>
      </fill>
    </dxf>
    <dxf>
      <font>
        <color theme="1"/>
      </font>
      <fill>
        <patternFill>
          <bgColor theme="7"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9" tint="0.59996337778862885"/>
        </patternFill>
      </fill>
    </dxf>
    <dxf>
      <font>
        <color theme="1"/>
      </font>
      <fill>
        <patternFill>
          <bgColor theme="6" tint="0.39994506668294322"/>
        </patternFill>
      </fill>
    </dxf>
    <dxf>
      <font>
        <color theme="1"/>
      </font>
      <fill>
        <patternFill>
          <bgColor theme="0" tint="-0.14996795556505021"/>
        </patternFill>
      </fill>
    </dxf>
    <dxf>
      <font>
        <color theme="0"/>
      </font>
      <fill>
        <patternFill>
          <bgColor theme="1"/>
        </patternFill>
      </fill>
    </dxf>
    <dxf>
      <font>
        <color theme="1"/>
      </font>
      <fill>
        <patternFill patternType="none">
          <bgColor auto="1"/>
        </patternFill>
      </fill>
    </dxf>
    <dxf>
      <font>
        <color theme="1"/>
      </font>
      <fill>
        <patternFill>
          <bgColor rgb="FFFF2F82"/>
        </patternFill>
      </fill>
    </dxf>
    <dxf>
      <font>
        <color theme="1"/>
      </font>
      <fill>
        <patternFill>
          <bgColor theme="7"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9" tint="0.59996337778862885"/>
        </patternFill>
      </fill>
    </dxf>
    <dxf>
      <font>
        <color theme="1"/>
      </font>
      <fill>
        <patternFill>
          <bgColor theme="6" tint="0.39994506668294322"/>
        </patternFill>
      </fill>
    </dxf>
    <dxf>
      <font>
        <color theme="1"/>
      </font>
      <fill>
        <patternFill>
          <bgColor theme="0" tint="-0.14996795556505021"/>
        </patternFill>
      </fill>
    </dxf>
    <dxf>
      <font>
        <color theme="0"/>
      </font>
      <fill>
        <patternFill>
          <bgColor theme="1"/>
        </patternFill>
      </fill>
    </dxf>
    <dxf>
      <font>
        <color theme="1"/>
      </font>
      <fill>
        <patternFill patternType="none">
          <bgColor auto="1"/>
        </patternFill>
      </fill>
    </dxf>
    <dxf>
      <font>
        <color theme="1"/>
      </font>
      <fill>
        <patternFill>
          <bgColor rgb="FFFF2F82"/>
        </patternFill>
      </fill>
    </dxf>
    <dxf>
      <font>
        <color theme="1"/>
      </font>
      <fill>
        <patternFill>
          <bgColor theme="7" tint="0.39994506668294322"/>
        </patternFill>
      </fill>
    </dxf>
    <dxf>
      <font>
        <color theme="1"/>
      </font>
      <fill>
        <patternFill>
          <bgColor theme="8" tint="0.59996337778862885"/>
        </patternFill>
      </fill>
    </dxf>
    <dxf>
      <font>
        <color theme="1"/>
      </font>
      <fill>
        <patternFill>
          <bgColor rgb="FFFFFF00"/>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9" tint="0.59996337778862885"/>
        </patternFill>
      </fill>
    </dxf>
    <dxf>
      <font>
        <color theme="1"/>
      </font>
      <fill>
        <patternFill>
          <bgColor theme="6" tint="0.39994506668294322"/>
        </patternFill>
      </fill>
    </dxf>
    <dxf>
      <font>
        <color theme="1"/>
      </font>
      <fill>
        <patternFill>
          <bgColor theme="0" tint="-0.14996795556505021"/>
        </patternFill>
      </fill>
    </dxf>
    <dxf>
      <font>
        <color theme="0"/>
      </font>
      <fill>
        <patternFill>
          <bgColor theme="1"/>
        </patternFill>
      </fill>
    </dxf>
    <dxf>
      <font>
        <color theme="0"/>
      </font>
      <fill>
        <patternFill>
          <bgColor theme="1"/>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rgb="FFFFFF00"/>
        </patternFill>
      </fill>
    </dxf>
    <dxf>
      <font>
        <color theme="1"/>
      </font>
      <fill>
        <patternFill>
          <bgColor rgb="FFFF2F82"/>
        </patternFill>
      </fill>
    </dxf>
    <dxf>
      <font>
        <color theme="1"/>
      </font>
      <fill>
        <patternFill>
          <bgColor theme="3" tint="0.59996337778862885"/>
        </patternFill>
      </fill>
    </dxf>
    <dxf>
      <font>
        <color theme="1"/>
      </font>
      <fill>
        <patternFill>
          <bgColor theme="7" tint="0.39994506668294322"/>
        </patternFill>
      </fill>
    </dxf>
  </dxfs>
  <tableStyles count="0" defaultTableStyle="TableStyleMedium9" defaultPivotStyle="PivotStyleMedium4"/>
  <colors>
    <mruColors>
      <color rgb="FFFF2F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889000</xdr:colOff>
      <xdr:row>35</xdr:row>
      <xdr:rowOff>68579</xdr:rowOff>
    </xdr:from>
    <xdr:to>
      <xdr:col>11</xdr:col>
      <xdr:colOff>63500</xdr:colOff>
      <xdr:row>38</xdr:row>
      <xdr:rowOff>236854</xdr:rowOff>
    </xdr:to>
    <xdr:pic>
      <xdr:nvPicPr>
        <xdr:cNvPr id="2" name="Billed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00" y="10244454"/>
          <a:ext cx="1349375" cy="1025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774700</xdr:colOff>
      <xdr:row>36</xdr:row>
      <xdr:rowOff>41910</xdr:rowOff>
    </xdr:from>
    <xdr:to>
      <xdr:col>11</xdr:col>
      <xdr:colOff>12700</xdr:colOff>
      <xdr:row>39</xdr:row>
      <xdr:rowOff>270510</xdr:rowOff>
    </xdr:to>
    <xdr:pic>
      <xdr:nvPicPr>
        <xdr:cNvPr id="5" name="Billed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92700" y="10582910"/>
          <a:ext cx="1428750"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riskoler.dk/Users/tove/Library/Application%20Support/Microsoft/Office/Office%202011%20AutoRecovery/KAL1516%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riskoler.dk/Users/tove/Documents/Skole&#229;rets%20planl&#230;gning/Fyraftensm&#248;der/kursusklar%20version2-%20planl&#230;gning%20af%20arbejdst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jledning2015"/>
      <sheetName val="Maaned"/>
      <sheetName val="Aar"/>
      <sheetName val="1.halvaar"/>
      <sheetName val="2.halvaar"/>
      <sheetName val="Aar (tom)"/>
      <sheetName val="1.halvaar (tom)"/>
      <sheetName val="2.halvaar (tom)"/>
      <sheetName val="Minikalender"/>
    </sheetNames>
    <sheetDataSet>
      <sheetData sheetId="0"/>
      <sheetData sheetId="1">
        <row r="3">
          <cell r="A3">
            <v>2015</v>
          </cell>
        </row>
        <row r="5">
          <cell r="C5" t="str">
            <v>lø</v>
          </cell>
          <cell r="H5" t="str">
            <v>ti</v>
          </cell>
          <cell r="M5" t="str">
            <v>to</v>
          </cell>
          <cell r="R5" t="str">
            <v>sø</v>
          </cell>
          <cell r="W5" t="str">
            <v>ti</v>
          </cell>
          <cell r="AB5" t="str">
            <v>fr</v>
          </cell>
          <cell r="AG5" t="str">
            <v>ma</v>
          </cell>
          <cell r="AL5" t="str">
            <v>ti</v>
          </cell>
          <cell r="AQ5" t="str">
            <v>fr</v>
          </cell>
          <cell r="AR5" t="str">
            <v>skoledag</v>
          </cell>
          <cell r="AV5" t="str">
            <v>sø</v>
          </cell>
          <cell r="BA5" t="str">
            <v>on</v>
          </cell>
          <cell r="BF5" t="str">
            <v>fr</v>
          </cell>
        </row>
        <row r="6">
          <cell r="C6" t="str">
            <v>sø</v>
          </cell>
          <cell r="H6" t="str">
            <v>on</v>
          </cell>
          <cell r="M6" t="str">
            <v>fr</v>
          </cell>
          <cell r="R6" t="str">
            <v>ma</v>
          </cell>
          <cell r="W6" t="str">
            <v>on</v>
          </cell>
          <cell r="AB6" t="str">
            <v>lø</v>
          </cell>
          <cell r="AG6" t="str">
            <v>ti</v>
          </cell>
          <cell r="AL6" t="str">
            <v>on</v>
          </cell>
          <cell r="AQ6" t="str">
            <v>lø</v>
          </cell>
          <cell r="AR6" t="str">
            <v>fridag</v>
          </cell>
          <cell r="AV6" t="str">
            <v>ma</v>
          </cell>
          <cell r="BA6" t="str">
            <v>to</v>
          </cell>
          <cell r="BF6" t="str">
            <v>lø</v>
          </cell>
        </row>
        <row r="7">
          <cell r="C7" t="str">
            <v>ma</v>
          </cell>
          <cell r="H7" t="str">
            <v>to</v>
          </cell>
          <cell r="M7" t="str">
            <v>lø</v>
          </cell>
          <cell r="R7" t="str">
            <v>ti</v>
          </cell>
          <cell r="W7" t="str">
            <v>to</v>
          </cell>
          <cell r="AB7" t="str">
            <v>sø</v>
          </cell>
          <cell r="AG7" t="str">
            <v>on</v>
          </cell>
          <cell r="AL7" t="str">
            <v>to</v>
          </cell>
          <cell r="AQ7" t="str">
            <v>sø</v>
          </cell>
          <cell r="AR7" t="str">
            <v>fridag</v>
          </cell>
          <cell r="AV7" t="str">
            <v>ti</v>
          </cell>
          <cell r="BA7" t="str">
            <v>fr</v>
          </cell>
          <cell r="BF7" t="str">
            <v>sø</v>
          </cell>
        </row>
        <row r="8">
          <cell r="C8" t="str">
            <v>ti</v>
          </cell>
          <cell r="H8" t="str">
            <v>fr</v>
          </cell>
          <cell r="M8" t="str">
            <v>sø</v>
          </cell>
          <cell r="R8" t="str">
            <v>on</v>
          </cell>
          <cell r="W8" t="str">
            <v>fr</v>
          </cell>
          <cell r="AB8" t="str">
            <v>ma</v>
          </cell>
          <cell r="AG8" t="str">
            <v>to</v>
          </cell>
          <cell r="AL8" t="str">
            <v>fr</v>
          </cell>
          <cell r="AQ8" t="str">
            <v>ma</v>
          </cell>
          <cell r="AR8" t="str">
            <v>skoledag</v>
          </cell>
          <cell r="AV8" t="str">
            <v>on</v>
          </cell>
          <cell r="BA8" t="str">
            <v>lø</v>
          </cell>
          <cell r="BF8" t="str">
            <v>ma</v>
          </cell>
        </row>
        <row r="9">
          <cell r="C9" t="str">
            <v>on</v>
          </cell>
          <cell r="H9" t="str">
            <v>lø</v>
          </cell>
          <cell r="M9" t="str">
            <v>ma</v>
          </cell>
          <cell r="R9" t="str">
            <v>to</v>
          </cell>
          <cell r="W9" t="str">
            <v>lø</v>
          </cell>
          <cell r="AB9" t="str">
            <v>ti</v>
          </cell>
          <cell r="AG9" t="str">
            <v>fr</v>
          </cell>
          <cell r="AL9" t="str">
            <v>lø</v>
          </cell>
          <cell r="AQ9" t="str">
            <v>ti</v>
          </cell>
          <cell r="AR9" t="str">
            <v>skoledag</v>
          </cell>
          <cell r="AV9" t="str">
            <v>to</v>
          </cell>
          <cell r="BA9" t="str">
            <v>sø</v>
          </cell>
          <cell r="BF9" t="str">
            <v>ti</v>
          </cell>
        </row>
        <row r="10">
          <cell r="C10" t="str">
            <v>to</v>
          </cell>
          <cell r="H10" t="str">
            <v>sø</v>
          </cell>
          <cell r="M10" t="str">
            <v>ti</v>
          </cell>
          <cell r="R10" t="str">
            <v>fr</v>
          </cell>
          <cell r="W10" t="str">
            <v>sø</v>
          </cell>
          <cell r="AB10" t="str">
            <v>on</v>
          </cell>
          <cell r="AG10" t="str">
            <v>lø</v>
          </cell>
          <cell r="AL10" t="str">
            <v>sø</v>
          </cell>
          <cell r="AQ10" t="str">
            <v>on</v>
          </cell>
          <cell r="AR10" t="str">
            <v>skoledag</v>
          </cell>
          <cell r="AV10" t="str">
            <v>fr</v>
          </cell>
          <cell r="BA10" t="str">
            <v>ma</v>
          </cell>
          <cell r="BF10" t="str">
            <v>on</v>
          </cell>
        </row>
        <row r="11">
          <cell r="C11" t="str">
            <v>fr</v>
          </cell>
          <cell r="H11" t="str">
            <v>ma</v>
          </cell>
          <cell r="M11" t="str">
            <v>on</v>
          </cell>
          <cell r="R11" t="str">
            <v>lø</v>
          </cell>
          <cell r="W11" t="str">
            <v>ma</v>
          </cell>
          <cell r="AB11" t="str">
            <v>to</v>
          </cell>
          <cell r="AG11" t="str">
            <v>sø</v>
          </cell>
          <cell r="AL11" t="str">
            <v>ma</v>
          </cell>
          <cell r="AQ11" t="str">
            <v>to</v>
          </cell>
          <cell r="AR11" t="str">
            <v>skoledag</v>
          </cell>
          <cell r="AV11" t="str">
            <v>lø</v>
          </cell>
          <cell r="BA11" t="str">
            <v>ti</v>
          </cell>
          <cell r="BF11" t="str">
            <v>to</v>
          </cell>
        </row>
        <row r="12">
          <cell r="C12" t="str">
            <v>lø</v>
          </cell>
          <cell r="H12" t="str">
            <v>ti</v>
          </cell>
          <cell r="M12" t="str">
            <v>to</v>
          </cell>
          <cell r="R12" t="str">
            <v>sø</v>
          </cell>
          <cell r="W12" t="str">
            <v>ti</v>
          </cell>
          <cell r="AB12" t="str">
            <v>fr</v>
          </cell>
          <cell r="AG12" t="str">
            <v>ma</v>
          </cell>
          <cell r="AL12" t="str">
            <v>ti</v>
          </cell>
          <cell r="AQ12" t="str">
            <v>fr</v>
          </cell>
          <cell r="AR12" t="str">
            <v>skoledag</v>
          </cell>
          <cell r="AV12" t="str">
            <v>sø</v>
          </cell>
          <cell r="BA12" t="str">
            <v>on</v>
          </cell>
          <cell r="BF12" t="str">
            <v>fr</v>
          </cell>
        </row>
        <row r="13">
          <cell r="C13" t="str">
            <v>sø</v>
          </cell>
          <cell r="H13" t="str">
            <v>on</v>
          </cell>
          <cell r="M13" t="str">
            <v>fr</v>
          </cell>
          <cell r="R13" t="str">
            <v>ma</v>
          </cell>
          <cell r="W13" t="str">
            <v>on</v>
          </cell>
          <cell r="AB13" t="str">
            <v>lø</v>
          </cell>
          <cell r="AG13" t="str">
            <v>ti</v>
          </cell>
          <cell r="AL13" t="str">
            <v>on</v>
          </cell>
          <cell r="AQ13" t="str">
            <v>lø</v>
          </cell>
          <cell r="AR13" t="str">
            <v>fridag</v>
          </cell>
          <cell r="AV13" t="str">
            <v>ma</v>
          </cell>
          <cell r="BA13" t="str">
            <v>to</v>
          </cell>
          <cell r="BF13" t="str">
            <v>lø</v>
          </cell>
        </row>
        <row r="14">
          <cell r="C14" t="str">
            <v>ma</v>
          </cell>
          <cell r="H14" t="str">
            <v>to</v>
          </cell>
          <cell r="M14" t="str">
            <v>lø</v>
          </cell>
          <cell r="R14" t="str">
            <v>ti</v>
          </cell>
          <cell r="W14" t="str">
            <v>to</v>
          </cell>
          <cell r="AB14" t="str">
            <v>sø</v>
          </cell>
          <cell r="AG14" t="str">
            <v>on</v>
          </cell>
          <cell r="AL14" t="str">
            <v>to</v>
          </cell>
          <cell r="AQ14" t="str">
            <v>sø</v>
          </cell>
          <cell r="AR14" t="str">
            <v>fridag</v>
          </cell>
          <cell r="AV14" t="str">
            <v>ti</v>
          </cell>
          <cell r="BA14" t="str">
            <v>fr</v>
          </cell>
          <cell r="BF14" t="str">
            <v>sø</v>
          </cell>
        </row>
        <row r="15">
          <cell r="C15" t="str">
            <v>ti</v>
          </cell>
          <cell r="H15" t="str">
            <v>fr</v>
          </cell>
          <cell r="M15" t="str">
            <v>sø</v>
          </cell>
          <cell r="R15" t="str">
            <v>on</v>
          </cell>
          <cell r="W15" t="str">
            <v>fr</v>
          </cell>
          <cell r="AB15" t="str">
            <v>ma</v>
          </cell>
          <cell r="AG15" t="str">
            <v>to</v>
          </cell>
          <cell r="AL15" t="str">
            <v>fr</v>
          </cell>
          <cell r="AQ15" t="str">
            <v>ma</v>
          </cell>
          <cell r="AR15" t="str">
            <v>skoledag</v>
          </cell>
          <cell r="AV15" t="str">
            <v>on</v>
          </cell>
          <cell r="BA15" t="str">
            <v>lø</v>
          </cell>
          <cell r="BF15" t="str">
            <v>ma</v>
          </cell>
        </row>
        <row r="16">
          <cell r="C16" t="str">
            <v>on</v>
          </cell>
          <cell r="H16" t="str">
            <v>lø</v>
          </cell>
          <cell r="M16" t="str">
            <v>ma</v>
          </cell>
          <cell r="R16" t="str">
            <v>to</v>
          </cell>
          <cell r="W16" t="str">
            <v>lø</v>
          </cell>
          <cell r="AB16" t="str">
            <v>ti</v>
          </cell>
          <cell r="AG16" t="str">
            <v>fr</v>
          </cell>
          <cell r="AL16" t="str">
            <v>lø</v>
          </cell>
          <cell r="AQ16" t="str">
            <v>ti</v>
          </cell>
          <cell r="AR16" t="str">
            <v>skoledag</v>
          </cell>
          <cell r="AV16" t="str">
            <v>to</v>
          </cell>
          <cell r="BA16" t="str">
            <v>sø</v>
          </cell>
          <cell r="BF16" t="str">
            <v>ti</v>
          </cell>
        </row>
        <row r="17">
          <cell r="C17" t="str">
            <v>to</v>
          </cell>
          <cell r="H17" t="str">
            <v>sø</v>
          </cell>
          <cell r="M17" t="str">
            <v>ti</v>
          </cell>
          <cell r="R17" t="str">
            <v>fr</v>
          </cell>
          <cell r="W17" t="str">
            <v>sø</v>
          </cell>
          <cell r="AB17" t="str">
            <v>on</v>
          </cell>
          <cell r="AG17" t="str">
            <v>lø</v>
          </cell>
          <cell r="AL17" t="str">
            <v>sø</v>
          </cell>
          <cell r="AQ17" t="str">
            <v>on</v>
          </cell>
          <cell r="AR17" t="str">
            <v>skoledag</v>
          </cell>
          <cell r="AV17" t="str">
            <v>fr</v>
          </cell>
          <cell r="BA17" t="str">
            <v>ma</v>
          </cell>
          <cell r="BF17" t="str">
            <v>on</v>
          </cell>
        </row>
        <row r="18">
          <cell r="C18" t="str">
            <v>fr</v>
          </cell>
          <cell r="H18" t="str">
            <v>ma</v>
          </cell>
          <cell r="M18" t="str">
            <v>on</v>
          </cell>
          <cell r="R18" t="str">
            <v>lø</v>
          </cell>
          <cell r="W18" t="str">
            <v>ma</v>
          </cell>
          <cell r="AB18" t="str">
            <v>to</v>
          </cell>
          <cell r="AG18" t="str">
            <v>sø</v>
          </cell>
          <cell r="AL18" t="str">
            <v>ma</v>
          </cell>
          <cell r="AQ18" t="str">
            <v>to</v>
          </cell>
          <cell r="AR18" t="str">
            <v>skoledag</v>
          </cell>
          <cell r="AV18" t="str">
            <v>lø</v>
          </cell>
          <cell r="BA18" t="str">
            <v>ti</v>
          </cell>
          <cell r="BF18" t="str">
            <v>to</v>
          </cell>
        </row>
        <row r="19">
          <cell r="C19" t="str">
            <v>lø</v>
          </cell>
          <cell r="H19" t="str">
            <v>ti</v>
          </cell>
          <cell r="M19" t="str">
            <v>to</v>
          </cell>
          <cell r="R19" t="str">
            <v>sø</v>
          </cell>
          <cell r="W19" t="str">
            <v>ti</v>
          </cell>
          <cell r="AB19" t="str">
            <v>fr</v>
          </cell>
          <cell r="AG19" t="str">
            <v>ma</v>
          </cell>
          <cell r="AL19" t="str">
            <v>ti</v>
          </cell>
          <cell r="AQ19" t="str">
            <v>fr</v>
          </cell>
          <cell r="AR19" t="str">
            <v>skoledag</v>
          </cell>
          <cell r="AV19" t="str">
            <v>sø</v>
          </cell>
          <cell r="BA19" t="str">
            <v>on</v>
          </cell>
          <cell r="BF19" t="str">
            <v>fr</v>
          </cell>
        </row>
        <row r="20">
          <cell r="C20" t="str">
            <v>sø</v>
          </cell>
          <cell r="H20" t="str">
            <v>on</v>
          </cell>
          <cell r="M20" t="str">
            <v>fr</v>
          </cell>
          <cell r="R20" t="str">
            <v>ma</v>
          </cell>
          <cell r="W20" t="str">
            <v>on</v>
          </cell>
          <cell r="AB20" t="str">
            <v>lø</v>
          </cell>
          <cell r="AG20" t="str">
            <v>ti</v>
          </cell>
          <cell r="AL20" t="str">
            <v>on</v>
          </cell>
          <cell r="AQ20" t="str">
            <v>lø</v>
          </cell>
          <cell r="AR20" t="str">
            <v>fridag</v>
          </cell>
          <cell r="AV20" t="str">
            <v>ma</v>
          </cell>
          <cell r="BA20" t="str">
            <v>to</v>
          </cell>
          <cell r="BF20" t="str">
            <v>lø</v>
          </cell>
        </row>
        <row r="21">
          <cell r="C21" t="str">
            <v>ma</v>
          </cell>
          <cell r="H21" t="str">
            <v>to</v>
          </cell>
          <cell r="M21" t="str">
            <v>lø</v>
          </cell>
          <cell r="R21" t="str">
            <v>ti</v>
          </cell>
          <cell r="W21" t="str">
            <v>to</v>
          </cell>
          <cell r="AB21" t="str">
            <v>sø</v>
          </cell>
          <cell r="AG21" t="str">
            <v>on</v>
          </cell>
          <cell r="AL21" t="str">
            <v>to</v>
          </cell>
          <cell r="AQ21" t="str">
            <v>sø</v>
          </cell>
          <cell r="AR21" t="str">
            <v>fridag</v>
          </cell>
          <cell r="AV21" t="str">
            <v>ti</v>
          </cell>
          <cell r="BA21" t="str">
            <v>fr</v>
          </cell>
          <cell r="BF21" t="str">
            <v>sø</v>
          </cell>
        </row>
        <row r="22">
          <cell r="C22" t="str">
            <v>ti</v>
          </cell>
          <cell r="H22" t="str">
            <v>fr</v>
          </cell>
          <cell r="M22" t="str">
            <v>sø</v>
          </cell>
          <cell r="R22" t="str">
            <v>on</v>
          </cell>
          <cell r="W22" t="str">
            <v>fr</v>
          </cell>
          <cell r="AB22" t="str">
            <v>ma</v>
          </cell>
          <cell r="AG22" t="str">
            <v>to</v>
          </cell>
          <cell r="AL22" t="str">
            <v>fr</v>
          </cell>
          <cell r="AQ22" t="str">
            <v>ma</v>
          </cell>
          <cell r="AR22" t="str">
            <v>skoledag</v>
          </cell>
          <cell r="AV22" t="str">
            <v>on</v>
          </cell>
          <cell r="BA22" t="str">
            <v>lø</v>
          </cell>
          <cell r="BF22" t="str">
            <v>ma</v>
          </cell>
        </row>
        <row r="23">
          <cell r="C23" t="str">
            <v>on</v>
          </cell>
          <cell r="H23" t="str">
            <v>lø</v>
          </cell>
          <cell r="M23" t="str">
            <v>ma</v>
          </cell>
          <cell r="R23" t="str">
            <v>to</v>
          </cell>
          <cell r="W23" t="str">
            <v>lø</v>
          </cell>
          <cell r="AB23" t="str">
            <v>ti</v>
          </cell>
          <cell r="AG23" t="str">
            <v>fr</v>
          </cell>
          <cell r="AL23" t="str">
            <v>lø</v>
          </cell>
          <cell r="AQ23" t="str">
            <v>ti</v>
          </cell>
          <cell r="AR23" t="str">
            <v>skoledag</v>
          </cell>
          <cell r="AV23" t="str">
            <v>to</v>
          </cell>
          <cell r="BA23" t="str">
            <v>sø</v>
          </cell>
          <cell r="BF23" t="str">
            <v>ti</v>
          </cell>
        </row>
        <row r="24">
          <cell r="C24" t="str">
            <v>to</v>
          </cell>
          <cell r="H24" t="str">
            <v>sø</v>
          </cell>
          <cell r="M24" t="str">
            <v>ti</v>
          </cell>
          <cell r="R24" t="str">
            <v>fr</v>
          </cell>
          <cell r="W24" t="str">
            <v>sø</v>
          </cell>
          <cell r="AB24" t="str">
            <v>on</v>
          </cell>
          <cell r="AG24" t="str">
            <v>lø</v>
          </cell>
          <cell r="AL24" t="str">
            <v>sø</v>
          </cell>
          <cell r="AQ24" t="str">
            <v>on</v>
          </cell>
          <cell r="AR24" t="str">
            <v>skoledag</v>
          </cell>
          <cell r="AV24" t="str">
            <v>fr</v>
          </cell>
          <cell r="BA24" t="str">
            <v>ma</v>
          </cell>
          <cell r="BF24" t="str">
            <v>on</v>
          </cell>
        </row>
        <row r="25">
          <cell r="C25" t="str">
            <v>fr</v>
          </cell>
          <cell r="H25" t="str">
            <v>ma</v>
          </cell>
          <cell r="M25" t="str">
            <v>on</v>
          </cell>
          <cell r="R25" t="str">
            <v>lø</v>
          </cell>
          <cell r="W25" t="str">
            <v>ma</v>
          </cell>
          <cell r="AB25" t="str">
            <v>to</v>
          </cell>
          <cell r="AG25" t="str">
            <v>sø</v>
          </cell>
          <cell r="AL25" t="str">
            <v>ma</v>
          </cell>
          <cell r="AQ25" t="str">
            <v>to</v>
          </cell>
          <cell r="AR25" t="str">
            <v>skoledag</v>
          </cell>
          <cell r="AV25" t="str">
            <v>lø</v>
          </cell>
          <cell r="BA25" t="str">
            <v>ti</v>
          </cell>
          <cell r="BF25" t="str">
            <v>to</v>
          </cell>
        </row>
        <row r="26">
          <cell r="C26" t="str">
            <v>lø</v>
          </cell>
          <cell r="H26" t="str">
            <v>ti</v>
          </cell>
          <cell r="M26" t="str">
            <v>to</v>
          </cell>
          <cell r="R26" t="str">
            <v>sø</v>
          </cell>
          <cell r="W26" t="str">
            <v>ti</v>
          </cell>
          <cell r="AB26" t="str">
            <v>fr</v>
          </cell>
          <cell r="AG26" t="str">
            <v>ma</v>
          </cell>
          <cell r="AL26" t="str">
            <v>ti</v>
          </cell>
          <cell r="AQ26" t="str">
            <v>fr</v>
          </cell>
          <cell r="AR26" t="str">
            <v>fridag</v>
          </cell>
          <cell r="AV26" t="str">
            <v>sø</v>
          </cell>
          <cell r="BA26" t="str">
            <v>on</v>
          </cell>
          <cell r="BF26" t="str">
            <v>fr</v>
          </cell>
        </row>
        <row r="27">
          <cell r="C27" t="str">
            <v>sø</v>
          </cell>
          <cell r="H27" t="str">
            <v>on</v>
          </cell>
          <cell r="M27" t="str">
            <v>fr</v>
          </cell>
          <cell r="R27" t="str">
            <v>ma</v>
          </cell>
          <cell r="W27" t="str">
            <v>on</v>
          </cell>
          <cell r="AB27" t="str">
            <v>lø</v>
          </cell>
          <cell r="AG27" t="str">
            <v>ti</v>
          </cell>
          <cell r="AL27" t="str">
            <v>on</v>
          </cell>
          <cell r="AQ27" t="str">
            <v>lø</v>
          </cell>
          <cell r="AR27" t="str">
            <v>fridag</v>
          </cell>
          <cell r="AV27" t="str">
            <v>ma</v>
          </cell>
          <cell r="BA27" t="str">
            <v>to</v>
          </cell>
          <cell r="BF27" t="str">
            <v>lø</v>
          </cell>
        </row>
        <row r="28">
          <cell r="C28" t="str">
            <v>ma</v>
          </cell>
          <cell r="H28" t="str">
            <v>to</v>
          </cell>
          <cell r="M28" t="str">
            <v>lø</v>
          </cell>
          <cell r="R28" t="str">
            <v>ti</v>
          </cell>
          <cell r="W28" t="str">
            <v>to</v>
          </cell>
          <cell r="AB28" t="str">
            <v>sø</v>
          </cell>
          <cell r="AG28" t="str">
            <v>on</v>
          </cell>
          <cell r="AL28" t="str">
            <v>to</v>
          </cell>
          <cell r="AQ28" t="str">
            <v>sø</v>
          </cell>
          <cell r="AR28" t="str">
            <v>fridag</v>
          </cell>
          <cell r="AV28" t="str">
            <v>ti</v>
          </cell>
          <cell r="BA28" t="str">
            <v>fr</v>
          </cell>
          <cell r="BF28" t="str">
            <v>sø</v>
          </cell>
        </row>
        <row r="29">
          <cell r="C29" t="str">
            <v>ti</v>
          </cell>
          <cell r="H29" t="str">
            <v>fr</v>
          </cell>
          <cell r="M29" t="str">
            <v>sø</v>
          </cell>
          <cell r="R29" t="str">
            <v>on</v>
          </cell>
          <cell r="W29" t="str">
            <v>fr</v>
          </cell>
          <cell r="AB29" t="str">
            <v>ma</v>
          </cell>
          <cell r="AG29" t="str">
            <v>to</v>
          </cell>
          <cell r="AL29" t="str">
            <v>fr</v>
          </cell>
          <cell r="AQ29" t="str">
            <v>ma</v>
          </cell>
          <cell r="AR29" t="str">
            <v>skoledag</v>
          </cell>
          <cell r="AV29" t="str">
            <v>on</v>
          </cell>
          <cell r="BA29" t="str">
            <v>lø</v>
          </cell>
          <cell r="BF29" t="str">
            <v>ma</v>
          </cell>
        </row>
        <row r="30">
          <cell r="C30" t="str">
            <v>on</v>
          </cell>
          <cell r="H30" t="str">
            <v>lø</v>
          </cell>
          <cell r="M30" t="str">
            <v>ma</v>
          </cell>
          <cell r="R30" t="str">
            <v>to</v>
          </cell>
          <cell r="W30" t="str">
            <v>lø</v>
          </cell>
          <cell r="AB30" t="str">
            <v>ti</v>
          </cell>
          <cell r="AG30" t="str">
            <v>fr</v>
          </cell>
          <cell r="AL30" t="str">
            <v>lø</v>
          </cell>
          <cell r="AQ30" t="str">
            <v>ti</v>
          </cell>
          <cell r="AR30" t="str">
            <v>skoledag</v>
          </cell>
          <cell r="AV30" t="str">
            <v>to</v>
          </cell>
          <cell r="BA30" t="str">
            <v>sø</v>
          </cell>
          <cell r="BF30" t="str">
            <v>ti</v>
          </cell>
        </row>
        <row r="31">
          <cell r="C31" t="str">
            <v>to</v>
          </cell>
          <cell r="H31" t="str">
            <v>sø</v>
          </cell>
          <cell r="M31" t="str">
            <v>ti</v>
          </cell>
          <cell r="R31" t="str">
            <v>fr</v>
          </cell>
          <cell r="W31" t="str">
            <v>sø</v>
          </cell>
          <cell r="AB31" t="str">
            <v>on</v>
          </cell>
          <cell r="AG31" t="str">
            <v>lø</v>
          </cell>
          <cell r="AL31" t="str">
            <v>sø</v>
          </cell>
          <cell r="AQ31" t="str">
            <v>on</v>
          </cell>
          <cell r="AR31" t="str">
            <v>skoledag</v>
          </cell>
          <cell r="AV31" t="str">
            <v>fr</v>
          </cell>
          <cell r="BA31" t="str">
            <v>ma</v>
          </cell>
          <cell r="BF31" t="str">
            <v>on</v>
          </cell>
        </row>
        <row r="32">
          <cell r="C32" t="str">
            <v>fr</v>
          </cell>
          <cell r="H32" t="str">
            <v>ma</v>
          </cell>
          <cell r="M32" t="str">
            <v>on</v>
          </cell>
          <cell r="R32" t="str">
            <v>lø</v>
          </cell>
          <cell r="W32" t="str">
            <v>ma</v>
          </cell>
          <cell r="AB32" t="str">
            <v>to</v>
          </cell>
          <cell r="AG32" t="str">
            <v>sø</v>
          </cell>
          <cell r="AL32" t="str">
            <v>ma</v>
          </cell>
          <cell r="AQ32" t="str">
            <v>to</v>
          </cell>
          <cell r="AR32" t="str">
            <v>skoledag</v>
          </cell>
          <cell r="AV32" t="str">
            <v>lø</v>
          </cell>
          <cell r="BA32" t="str">
            <v>ti</v>
          </cell>
          <cell r="BF32" t="str">
            <v>to</v>
          </cell>
        </row>
        <row r="33">
          <cell r="C33" t="str">
            <v>lø</v>
          </cell>
          <cell r="H33" t="str">
            <v>ti</v>
          </cell>
          <cell r="M33" t="str">
            <v>to</v>
          </cell>
          <cell r="R33" t="str">
            <v>sø</v>
          </cell>
          <cell r="W33" t="str">
            <v>ti</v>
          </cell>
          <cell r="AB33" t="str">
            <v>fr</v>
          </cell>
          <cell r="AG33" t="str">
            <v>ma</v>
          </cell>
          <cell r="AL33" t="str">
            <v>ti</v>
          </cell>
          <cell r="AQ33" t="str">
            <v>fr</v>
          </cell>
          <cell r="AR33" t="str">
            <v>skoledag</v>
          </cell>
          <cell r="AV33" t="str">
            <v>sø</v>
          </cell>
          <cell r="BA33" t="str">
            <v>on</v>
          </cell>
          <cell r="BF33" t="str">
            <v>fr</v>
          </cell>
        </row>
        <row r="34">
          <cell r="C34" t="str">
            <v>sø</v>
          </cell>
          <cell r="H34" t="str">
            <v>on</v>
          </cell>
          <cell r="M34" t="str">
            <v>fr</v>
          </cell>
          <cell r="R34" t="str">
            <v>ma</v>
          </cell>
          <cell r="W34" t="str">
            <v>on</v>
          </cell>
          <cell r="AB34" t="str">
            <v>lø</v>
          </cell>
          <cell r="AL34" t="str">
            <v>on</v>
          </cell>
          <cell r="AQ34" t="str">
            <v>lø</v>
          </cell>
          <cell r="AR34" t="str">
            <v>fridag</v>
          </cell>
          <cell r="AV34" t="str">
            <v>ma</v>
          </cell>
          <cell r="BA34" t="str">
            <v>to</v>
          </cell>
          <cell r="BF34" t="str">
            <v>lø</v>
          </cell>
        </row>
        <row r="35">
          <cell r="C35" t="str">
            <v>ma</v>
          </cell>
          <cell r="M35" t="str">
            <v>sø</v>
          </cell>
          <cell r="W35" t="str">
            <v>to</v>
          </cell>
          <cell r="AB35" t="str">
            <v>sø</v>
          </cell>
          <cell r="AL35" t="str">
            <v>to</v>
          </cell>
          <cell r="AV35" t="str">
            <v>ti</v>
          </cell>
          <cell r="BF35" t="str">
            <v>sø</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jdstidsoversigt"/>
      <sheetName val="Mødeplan"/>
      <sheetName val="Opgaveoversigt"/>
      <sheetName val="Aften-weekendtillæg"/>
      <sheetName val="Ulempe-weekendtillæg"/>
      <sheetName val="Kalender 1. halvår"/>
      <sheetName val="Kalender 2. halvår"/>
      <sheetName val="kursusklar version2- planlægnin"/>
    </sheetNames>
    <sheetDataSet>
      <sheetData sheetId="0">
        <row r="65">
          <cell r="B65" t="str">
            <v>Planlagte arbejdsdage uden undervisning</v>
          </cell>
        </row>
        <row r="76">
          <cell r="B76" t="str">
            <v>Lejrskole og ekskursioner                                                                     planlagt på hverdage i tidsrummet 06:00 - 17:00</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77"/>
  <sheetViews>
    <sheetView zoomScale="117" zoomScaleNormal="100" workbookViewId="0">
      <selection activeCell="A2" sqref="A2"/>
    </sheetView>
  </sheetViews>
  <sheetFormatPr baseColWidth="10" defaultRowHeight="16"/>
  <cols>
    <col min="1" max="1" width="157.33203125" style="213" customWidth="1"/>
    <col min="2" max="2" width="10.83203125" style="213" customWidth="1"/>
    <col min="3" max="16384" width="10.83203125" style="213"/>
  </cols>
  <sheetData>
    <row r="1" spans="1:1">
      <c r="A1" s="360">
        <v>2019</v>
      </c>
    </row>
    <row r="2" spans="1:1">
      <c r="A2" s="361" t="s">
        <v>364</v>
      </c>
    </row>
    <row r="3" spans="1:1" ht="30" customHeight="1">
      <c r="A3" s="362" t="s">
        <v>287</v>
      </c>
    </row>
    <row r="4" spans="1:1" ht="29" customHeight="1">
      <c r="A4" s="363" t="s">
        <v>363</v>
      </c>
    </row>
    <row r="5" spans="1:1" ht="18" customHeight="1">
      <c r="A5" s="389" t="s">
        <v>207</v>
      </c>
    </row>
    <row r="6" spans="1:1" ht="20">
      <c r="A6" s="390" t="s">
        <v>206</v>
      </c>
    </row>
    <row r="7" spans="1:1">
      <c r="A7" s="219"/>
    </row>
    <row r="8" spans="1:1">
      <c r="A8" s="492" t="s">
        <v>273</v>
      </c>
    </row>
    <row r="9" spans="1:1">
      <c r="A9" s="578" t="str">
        <f>"Skoleåret "&amp;A2&amp;" begynder den 1. august "&amp;A1&amp;" og slutter d. 31. juli "&amp;A1+1&amp;", og består af i alt 366 kalenderdage"</f>
        <v>Skoleåret 2019/20 begynder den 1. august 2019 og slutter d. 31. juli 2020, og består af i alt 366 kalenderdage</v>
      </c>
    </row>
    <row r="10" spans="1:1">
      <c r="A10" s="578"/>
    </row>
    <row r="11" spans="1:1">
      <c r="A11" s="358" t="s">
        <v>384</v>
      </c>
    </row>
    <row r="12" spans="1:1">
      <c r="A12" s="359" t="s">
        <v>277</v>
      </c>
    </row>
    <row r="13" spans="1:1" ht="53" customHeight="1">
      <c r="A13" s="577" t="s">
        <v>385</v>
      </c>
    </row>
    <row r="14" spans="1:1" ht="61" customHeight="1">
      <c r="A14" s="577"/>
    </row>
    <row r="15" spans="1:1">
      <c r="A15" s="554"/>
    </row>
    <row r="16" spans="1:1" ht="17">
      <c r="A16" s="555" t="s">
        <v>276</v>
      </c>
    </row>
    <row r="17" spans="1:4" ht="51" customHeight="1">
      <c r="A17" s="556" t="s">
        <v>386</v>
      </c>
    </row>
    <row r="18" spans="1:4">
      <c r="A18" s="557"/>
    </row>
    <row r="19" spans="1:4" ht="17">
      <c r="A19" s="558" t="s">
        <v>275</v>
      </c>
    </row>
    <row r="20" spans="1:4" ht="16" customHeight="1">
      <c r="A20" s="579" t="s">
        <v>274</v>
      </c>
    </row>
    <row r="21" spans="1:4">
      <c r="A21" s="579"/>
    </row>
    <row r="22" spans="1:4">
      <c r="A22" s="579"/>
    </row>
    <row r="23" spans="1:4" hidden="1">
      <c r="A23" s="579"/>
      <c r="D23" s="218"/>
    </row>
    <row r="24" spans="1:4">
      <c r="A24" s="559"/>
    </row>
    <row r="25" spans="1:4" ht="17">
      <c r="A25" s="560" t="s">
        <v>278</v>
      </c>
    </row>
    <row r="26" spans="1:4" ht="17">
      <c r="A26" s="557" t="s">
        <v>205</v>
      </c>
    </row>
    <row r="27" spans="1:4" ht="17">
      <c r="A27" s="557" t="s">
        <v>239</v>
      </c>
    </row>
    <row r="28" spans="1:4">
      <c r="A28" s="557"/>
    </row>
    <row r="29" spans="1:4" ht="17">
      <c r="A29" s="560" t="s">
        <v>279</v>
      </c>
    </row>
    <row r="30" spans="1:4" ht="17">
      <c r="A30" s="559" t="s">
        <v>284</v>
      </c>
    </row>
    <row r="31" spans="1:4" ht="17">
      <c r="A31" s="561" t="s">
        <v>280</v>
      </c>
    </row>
    <row r="32" spans="1:4" ht="17">
      <c r="A32" s="562" t="s">
        <v>281</v>
      </c>
    </row>
    <row r="33" spans="1:1" ht="17">
      <c r="A33" s="563" t="s">
        <v>282</v>
      </c>
    </row>
    <row r="34" spans="1:1" ht="17">
      <c r="A34" s="564" t="s">
        <v>283</v>
      </c>
    </row>
    <row r="35" spans="1:1">
      <c r="A35" s="565"/>
    </row>
    <row r="36" spans="1:1" ht="17">
      <c r="A36" s="566" t="s">
        <v>285</v>
      </c>
    </row>
    <row r="37" spans="1:1" ht="16" customHeight="1">
      <c r="A37" s="580" t="s">
        <v>335</v>
      </c>
    </row>
    <row r="38" spans="1:1">
      <c r="A38" s="580"/>
    </row>
    <row r="39" spans="1:1">
      <c r="A39" s="580"/>
    </row>
    <row r="40" spans="1:1">
      <c r="A40" s="567"/>
    </row>
    <row r="41" spans="1:1" ht="17">
      <c r="A41" s="568" t="s">
        <v>360</v>
      </c>
    </row>
    <row r="42" spans="1:1" ht="17">
      <c r="A42" s="569" t="s">
        <v>361</v>
      </c>
    </row>
    <row r="43" spans="1:1" ht="34">
      <c r="A43" s="569" t="s">
        <v>387</v>
      </c>
    </row>
    <row r="44" spans="1:1" ht="17">
      <c r="A44" s="569" t="s">
        <v>388</v>
      </c>
    </row>
    <row r="45" spans="1:1">
      <c r="A45" s="557"/>
    </row>
    <row r="46" spans="1:1" ht="17">
      <c r="A46" s="570" t="s">
        <v>286</v>
      </c>
    </row>
    <row r="47" spans="1:1" ht="16" customHeight="1">
      <c r="A47" s="582" t="s">
        <v>389</v>
      </c>
    </row>
    <row r="48" spans="1:1">
      <c r="A48" s="582"/>
    </row>
    <row r="49" spans="1:4">
      <c r="A49" s="582"/>
    </row>
    <row r="50" spans="1:4" s="515" customFormat="1">
      <c r="A50" s="571"/>
    </row>
    <row r="51" spans="1:4" ht="17">
      <c r="A51" s="560" t="s">
        <v>204</v>
      </c>
    </row>
    <row r="52" spans="1:4" ht="16" customHeight="1">
      <c r="A52" s="581" t="s">
        <v>390</v>
      </c>
    </row>
    <row r="53" spans="1:4">
      <c r="A53" s="581"/>
    </row>
    <row r="54" spans="1:4">
      <c r="A54" s="581"/>
    </row>
    <row r="55" spans="1:4" ht="52" customHeight="1">
      <c r="A55" s="581"/>
    </row>
    <row r="56" spans="1:4">
      <c r="A56" s="559"/>
    </row>
    <row r="57" spans="1:4" ht="16" customHeight="1">
      <c r="A57" s="560" t="s">
        <v>332</v>
      </c>
    </row>
    <row r="58" spans="1:4" ht="104" customHeight="1">
      <c r="A58" s="559" t="s">
        <v>391</v>
      </c>
    </row>
    <row r="59" spans="1:4" ht="49" customHeight="1">
      <c r="A59" s="565" t="s">
        <v>397</v>
      </c>
    </row>
    <row r="60" spans="1:4">
      <c r="A60" s="572"/>
    </row>
    <row r="61" spans="1:4">
      <c r="A61" s="217" t="s">
        <v>203</v>
      </c>
    </row>
    <row r="62" spans="1:4">
      <c r="A62" s="215" t="s">
        <v>202</v>
      </c>
      <c r="B62" s="217"/>
      <c r="C62" s="216"/>
      <c r="D62" s="216"/>
    </row>
    <row r="63" spans="1:4">
      <c r="A63" s="573" t="s">
        <v>201</v>
      </c>
      <c r="C63" s="214"/>
      <c r="D63" s="214"/>
    </row>
    <row r="64" spans="1:4">
      <c r="A64" s="573"/>
      <c r="D64" s="214"/>
    </row>
    <row r="65" spans="1:4">
      <c r="A65" s="215" t="s">
        <v>200</v>
      </c>
      <c r="C65" s="214"/>
      <c r="D65" s="214"/>
    </row>
    <row r="66" spans="1:4">
      <c r="A66" s="573" t="s">
        <v>199</v>
      </c>
      <c r="C66" s="214"/>
      <c r="D66" s="214"/>
    </row>
    <row r="67" spans="1:4">
      <c r="A67" s="573" t="s">
        <v>198</v>
      </c>
      <c r="D67" s="214"/>
    </row>
    <row r="68" spans="1:4">
      <c r="A68" s="573"/>
      <c r="D68" s="214"/>
    </row>
    <row r="69" spans="1:4">
      <c r="A69" s="215" t="s">
        <v>197</v>
      </c>
      <c r="C69" s="214"/>
      <c r="D69" s="214"/>
    </row>
    <row r="70" spans="1:4">
      <c r="A70" s="573" t="s">
        <v>196</v>
      </c>
      <c r="C70" s="214"/>
      <c r="D70" s="214"/>
    </row>
    <row r="71" spans="1:4">
      <c r="A71" s="572"/>
      <c r="B71" s="214"/>
      <c r="D71" s="214"/>
    </row>
    <row r="72" spans="1:4">
      <c r="A72" s="215" t="s">
        <v>195</v>
      </c>
    </row>
    <row r="73" spans="1:4">
      <c r="A73" s="573" t="s">
        <v>194</v>
      </c>
    </row>
    <row r="74" spans="1:4">
      <c r="A74" s="572"/>
    </row>
    <row r="75" spans="1:4">
      <c r="A75" s="215"/>
    </row>
    <row r="76" spans="1:4">
      <c r="A76" s="573"/>
    </row>
    <row r="77" spans="1:4">
      <c r="A77" s="572"/>
    </row>
  </sheetData>
  <sheetProtection sheet="1" objects="1" scenarios="1"/>
  <mergeCells count="6">
    <mergeCell ref="A13:A14"/>
    <mergeCell ref="A9:A10"/>
    <mergeCell ref="A20:A23"/>
    <mergeCell ref="A37:A39"/>
    <mergeCell ref="A52:A55"/>
    <mergeCell ref="A47:A49"/>
  </mergeCells>
  <phoneticPr fontId="5" type="noConversion"/>
  <pageMargins left="0.75" right="0.75" top="0.39" bottom="0.98" header="0.51" footer="0.51"/>
  <pageSetup paperSize="9" scale="52"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ColWidth="11" defaultRowHeight="16"/>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34"/>
  <sheetViews>
    <sheetView zoomScale="125" zoomScaleNormal="125" zoomScalePageLayoutView="125" workbookViewId="0">
      <selection activeCell="C5" sqref="C5"/>
    </sheetView>
  </sheetViews>
  <sheetFormatPr baseColWidth="10" defaultColWidth="11" defaultRowHeight="16"/>
  <cols>
    <col min="1" max="1" width="6" customWidth="1"/>
    <col min="2" max="2" width="6.1640625" customWidth="1"/>
    <col min="3" max="3" width="68.83203125" customWidth="1"/>
    <col min="4" max="4" width="15" customWidth="1"/>
  </cols>
  <sheetData>
    <row r="1" spans="1:4" ht="19">
      <c r="A1" s="113" t="s">
        <v>136</v>
      </c>
    </row>
    <row r="2" spans="1:4" ht="19">
      <c r="A2" s="113"/>
    </row>
    <row r="3" spans="1:4" ht="19">
      <c r="A3" s="113" t="s">
        <v>137</v>
      </c>
      <c r="C3" s="114"/>
    </row>
    <row r="4" spans="1:4" ht="19">
      <c r="A4" s="113"/>
    </row>
    <row r="5" spans="1:4" ht="19">
      <c r="A5" s="113"/>
      <c r="C5" s="115" t="s">
        <v>27</v>
      </c>
      <c r="D5" s="106"/>
    </row>
    <row r="6" spans="1:4">
      <c r="A6" s="116" t="s">
        <v>138</v>
      </c>
      <c r="B6" s="117" t="s">
        <v>139</v>
      </c>
    </row>
    <row r="7" spans="1:4">
      <c r="A7" s="118">
        <v>1</v>
      </c>
      <c r="B7" s="119" t="s">
        <v>140</v>
      </c>
      <c r="C7" s="115"/>
      <c r="D7" s="120"/>
    </row>
    <row r="8" spans="1:4">
      <c r="A8" s="121">
        <v>2</v>
      </c>
      <c r="B8" s="122" t="s">
        <v>141</v>
      </c>
      <c r="C8" s="123"/>
      <c r="D8" s="120"/>
    </row>
    <row r="9" spans="1:4">
      <c r="A9" s="121">
        <v>3</v>
      </c>
      <c r="B9" s="122" t="s">
        <v>263</v>
      </c>
      <c r="C9" s="123"/>
      <c r="D9" s="120"/>
    </row>
    <row r="10" spans="1:4">
      <c r="A10" s="121">
        <v>4</v>
      </c>
      <c r="B10" s="122" t="s">
        <v>142</v>
      </c>
      <c r="C10" s="123"/>
      <c r="D10" s="120"/>
    </row>
    <row r="11" spans="1:4">
      <c r="A11" s="118">
        <v>5</v>
      </c>
      <c r="B11" s="122" t="s">
        <v>143</v>
      </c>
      <c r="C11" s="123"/>
      <c r="D11" s="120"/>
    </row>
    <row r="12" spans="1:4">
      <c r="A12" s="118">
        <v>6</v>
      </c>
      <c r="B12" s="122" t="s">
        <v>381</v>
      </c>
      <c r="C12" s="123"/>
      <c r="D12" s="120"/>
    </row>
    <row r="13" spans="1:4">
      <c r="A13" s="118">
        <v>7</v>
      </c>
      <c r="B13" s="122" t="s">
        <v>144</v>
      </c>
      <c r="C13" s="123"/>
      <c r="D13" s="120"/>
    </row>
    <row r="14" spans="1:4">
      <c r="A14" s="121">
        <v>8</v>
      </c>
      <c r="B14" s="122" t="s">
        <v>145</v>
      </c>
      <c r="C14" s="123"/>
      <c r="D14" s="120"/>
    </row>
    <row r="15" spans="1:4">
      <c r="A15" s="121">
        <v>9</v>
      </c>
      <c r="B15" s="122" t="s">
        <v>382</v>
      </c>
      <c r="C15" s="123"/>
      <c r="D15" s="120"/>
    </row>
    <row r="16" spans="1:4">
      <c r="A16" s="121">
        <v>10</v>
      </c>
      <c r="B16" s="122" t="s">
        <v>264</v>
      </c>
      <c r="C16" s="123"/>
      <c r="D16" s="120"/>
    </row>
    <row r="17" spans="1:4">
      <c r="A17" s="118">
        <v>11</v>
      </c>
      <c r="B17" s="122" t="s">
        <v>264</v>
      </c>
      <c r="C17" s="123"/>
      <c r="D17" s="120"/>
    </row>
    <row r="18" spans="1:4">
      <c r="A18" s="118">
        <v>12</v>
      </c>
      <c r="B18" s="122" t="s">
        <v>264</v>
      </c>
      <c r="C18" s="123"/>
      <c r="D18" s="120"/>
    </row>
    <row r="19" spans="1:4">
      <c r="A19" s="118">
        <v>13</v>
      </c>
      <c r="B19" s="122" t="s">
        <v>264</v>
      </c>
      <c r="C19" s="123"/>
      <c r="D19" s="120"/>
    </row>
    <row r="20" spans="1:4">
      <c r="A20" s="121">
        <v>14</v>
      </c>
      <c r="B20" s="122" t="s">
        <v>264</v>
      </c>
      <c r="C20" s="123"/>
      <c r="D20" s="120"/>
    </row>
    <row r="21" spans="1:4">
      <c r="A21" s="121">
        <v>15</v>
      </c>
      <c r="B21" t="s">
        <v>262</v>
      </c>
      <c r="D21" s="120"/>
    </row>
    <row r="22" spans="1:4">
      <c r="A22" s="121">
        <v>16</v>
      </c>
      <c r="B22" s="124" t="s">
        <v>257</v>
      </c>
      <c r="C22" s="124"/>
      <c r="D22" s="125">
        <f>SUM(D7:D21)</f>
        <v>0</v>
      </c>
    </row>
    <row r="24" spans="1:4">
      <c r="A24" s="118">
        <v>17</v>
      </c>
      <c r="B24" s="119" t="s">
        <v>146</v>
      </c>
      <c r="C24" s="115"/>
      <c r="D24" s="126">
        <f>IF(D5&gt;0,D22/D5,0)</f>
        <v>0</v>
      </c>
    </row>
    <row r="26" spans="1:4">
      <c r="A26" s="118">
        <v>18</v>
      </c>
      <c r="B26" s="119" t="s">
        <v>383</v>
      </c>
      <c r="C26" s="115"/>
      <c r="D26" s="125">
        <f>IF(D24&gt;0,D24/1924*12,0)</f>
        <v>0</v>
      </c>
    </row>
    <row r="27" spans="1:4">
      <c r="A27" s="116"/>
    </row>
    <row r="28" spans="1:4">
      <c r="A28" s="118">
        <v>19</v>
      </c>
      <c r="B28" s="119" t="s">
        <v>147</v>
      </c>
      <c r="C28" s="115"/>
      <c r="D28" s="126">
        <f>D$26*25%</f>
        <v>0</v>
      </c>
    </row>
    <row r="29" spans="1:4">
      <c r="A29" s="116"/>
      <c r="D29" s="127"/>
    </row>
    <row r="30" spans="1:4">
      <c r="A30" s="118">
        <v>20</v>
      </c>
      <c r="B30" s="119" t="s">
        <v>148</v>
      </c>
      <c r="C30" s="115"/>
      <c r="D30" s="126">
        <f>D$26*50%</f>
        <v>0</v>
      </c>
    </row>
    <row r="31" spans="1:4">
      <c r="A31" s="116"/>
      <c r="D31" s="127"/>
    </row>
    <row r="32" spans="1:4">
      <c r="A32" s="118">
        <v>21</v>
      </c>
      <c r="B32" s="119" t="s">
        <v>149</v>
      </c>
      <c r="C32" s="115"/>
      <c r="D32" s="126">
        <f>D$26</f>
        <v>0</v>
      </c>
    </row>
    <row r="34" spans="1:4">
      <c r="A34" s="118">
        <v>22</v>
      </c>
      <c r="B34" s="119" t="s">
        <v>150</v>
      </c>
      <c r="C34" s="115"/>
      <c r="D34" s="126">
        <f>SUM(D28:D32)</f>
        <v>0</v>
      </c>
    </row>
  </sheetData>
  <sheetProtection sheet="1" objects="1" scenarios="1" formatCells="0" formatColumns="0" formatRows="0"/>
  <phoneticPr fontId="5" type="noConversion"/>
  <pageMargins left="0.75" right="0.75" top="1" bottom="1" header="0.5" footer="0.5"/>
  <pageSetup paperSize="9" scale="84"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V33"/>
  <sheetViews>
    <sheetView workbookViewId="0">
      <selection activeCell="T50" sqref="T50"/>
    </sheetView>
  </sheetViews>
  <sheetFormatPr baseColWidth="10" defaultRowHeight="16"/>
  <cols>
    <col min="1" max="2" width="2.83203125" customWidth="1"/>
    <col min="3" max="3" width="9.83203125" customWidth="1"/>
    <col min="4" max="4" width="2.83203125" style="533" customWidth="1"/>
    <col min="5" max="6" width="2.83203125" customWidth="1"/>
    <col min="8" max="10" width="2.83203125" customWidth="1"/>
    <col min="12" max="14" width="2.83203125" customWidth="1"/>
    <col min="16" max="18" width="2.83203125" customWidth="1"/>
    <col min="20" max="22" width="2.83203125" customWidth="1"/>
    <col min="24" max="26" width="2.83203125" customWidth="1"/>
    <col min="28" max="30" width="2.83203125" customWidth="1"/>
    <col min="32" max="34" width="2.83203125" customWidth="1"/>
    <col min="36" max="38" width="2.83203125" customWidth="1"/>
    <col min="40" max="42" width="2.83203125" customWidth="1"/>
    <col min="44" max="46" width="2.83203125" customWidth="1"/>
    <col min="48" max="48" width="2.83203125" customWidth="1"/>
  </cols>
  <sheetData>
    <row r="1" spans="1:48" ht="31" thickBot="1">
      <c r="A1" s="307" t="s">
        <v>369</v>
      </c>
      <c r="B1" s="304"/>
      <c r="C1" s="303"/>
      <c r="D1" s="531"/>
      <c r="E1" s="305"/>
      <c r="F1" s="304"/>
      <c r="G1" s="303"/>
      <c r="H1" s="306"/>
      <c r="I1" s="305"/>
      <c r="J1" s="304"/>
      <c r="K1" s="303"/>
      <c r="L1" s="306"/>
      <c r="M1" s="305"/>
      <c r="N1" s="304"/>
      <c r="O1" s="303"/>
      <c r="P1" s="306"/>
      <c r="Q1" s="305"/>
      <c r="R1" s="304"/>
      <c r="S1" s="303"/>
      <c r="T1" s="306"/>
      <c r="U1" s="305"/>
      <c r="V1" s="304"/>
      <c r="W1" s="303"/>
      <c r="X1" s="306"/>
      <c r="Y1" s="305"/>
      <c r="Z1" s="304"/>
      <c r="AA1" s="303"/>
      <c r="AB1" s="306"/>
      <c r="AC1" s="305"/>
      <c r="AD1" s="304"/>
      <c r="AE1" s="303"/>
      <c r="AF1" s="306"/>
      <c r="AG1" s="305"/>
      <c r="AH1" s="304"/>
      <c r="AI1" s="303"/>
      <c r="AJ1" s="306"/>
      <c r="AK1" s="305"/>
      <c r="AL1" s="304"/>
      <c r="AM1" s="303"/>
      <c r="AN1" s="306"/>
      <c r="AO1" s="305"/>
      <c r="AP1" s="304"/>
      <c r="AQ1" s="303"/>
      <c r="AR1" s="306"/>
      <c r="AS1" s="305"/>
      <c r="AT1" s="304"/>
      <c r="AU1" s="303"/>
      <c r="AV1" s="302"/>
    </row>
    <row r="2" spans="1:48" ht="18">
      <c r="A2" s="300" t="s">
        <v>156</v>
      </c>
      <c r="B2" s="299"/>
      <c r="C2" s="298"/>
      <c r="D2" s="532"/>
      <c r="E2" s="300" t="s">
        <v>157</v>
      </c>
      <c r="F2" s="299"/>
      <c r="G2" s="298"/>
      <c r="H2" s="297"/>
      <c r="I2" s="301" t="s">
        <v>158</v>
      </c>
      <c r="J2" s="299"/>
      <c r="K2" s="298"/>
      <c r="L2" s="297"/>
      <c r="M2" s="300" t="s">
        <v>159</v>
      </c>
      <c r="N2" s="299"/>
      <c r="O2" s="298"/>
      <c r="P2" s="297"/>
      <c r="Q2" s="300" t="s">
        <v>160</v>
      </c>
      <c r="R2" s="299"/>
      <c r="S2" s="298"/>
      <c r="T2" s="297"/>
      <c r="U2" s="300" t="s">
        <v>161</v>
      </c>
      <c r="V2" s="299"/>
      <c r="W2" s="298"/>
      <c r="X2" s="297"/>
      <c r="Y2" s="301" t="s">
        <v>165</v>
      </c>
      <c r="Z2" s="299"/>
      <c r="AA2" s="298"/>
      <c r="AB2" s="297"/>
      <c r="AC2" s="300" t="s">
        <v>166</v>
      </c>
      <c r="AD2" s="299"/>
      <c r="AE2" s="298"/>
      <c r="AF2" s="297"/>
      <c r="AG2" s="300" t="s">
        <v>167</v>
      </c>
      <c r="AH2" s="299"/>
      <c r="AI2" s="298"/>
      <c r="AJ2" s="297"/>
      <c r="AK2" s="300" t="s">
        <v>168</v>
      </c>
      <c r="AL2" s="299"/>
      <c r="AM2" s="298"/>
      <c r="AN2" s="297"/>
      <c r="AO2" s="300" t="s">
        <v>169</v>
      </c>
      <c r="AP2" s="299"/>
      <c r="AQ2" s="298"/>
      <c r="AR2" s="297"/>
      <c r="AS2" s="300" t="s">
        <v>170</v>
      </c>
      <c r="AT2" s="299"/>
      <c r="AU2" s="298"/>
      <c r="AV2" s="297"/>
    </row>
    <row r="3" spans="1:48">
      <c r="A3" s="537">
        <v>1</v>
      </c>
      <c r="B3" s="538" t="s">
        <v>349</v>
      </c>
      <c r="C3" s="538"/>
      <c r="D3" s="539" t="s">
        <v>302</v>
      </c>
      <c r="E3" s="551">
        <v>1</v>
      </c>
      <c r="F3" s="551" t="s">
        <v>352</v>
      </c>
      <c r="G3" s="551"/>
      <c r="H3" s="552" t="s">
        <v>302</v>
      </c>
      <c r="I3" s="537">
        <v>1</v>
      </c>
      <c r="J3" s="538" t="s">
        <v>350</v>
      </c>
      <c r="K3" s="538"/>
      <c r="L3" s="539" t="s">
        <v>302</v>
      </c>
      <c r="M3" s="538">
        <v>1</v>
      </c>
      <c r="N3" s="538" t="s">
        <v>351</v>
      </c>
      <c r="O3" s="538"/>
      <c r="P3" s="539" t="s">
        <v>302</v>
      </c>
      <c r="Q3" s="550">
        <v>1</v>
      </c>
      <c r="R3" s="551" t="s">
        <v>352</v>
      </c>
      <c r="S3" s="551"/>
      <c r="T3" s="552" t="s">
        <v>302</v>
      </c>
      <c r="U3" s="537">
        <v>1</v>
      </c>
      <c r="V3" s="538" t="s">
        <v>346</v>
      </c>
      <c r="W3" s="538"/>
      <c r="X3" s="539" t="s">
        <v>302</v>
      </c>
      <c r="Y3" s="551">
        <v>1</v>
      </c>
      <c r="Z3" s="551" t="s">
        <v>347</v>
      </c>
      <c r="AA3" s="551"/>
      <c r="AB3" s="552" t="s">
        <v>302</v>
      </c>
      <c r="AC3" s="550">
        <v>1</v>
      </c>
      <c r="AD3" s="551" t="s">
        <v>352</v>
      </c>
      <c r="AE3" s="551"/>
      <c r="AF3" s="552" t="s">
        <v>302</v>
      </c>
      <c r="AG3" s="538">
        <v>1</v>
      </c>
      <c r="AH3" s="538" t="s">
        <v>346</v>
      </c>
      <c r="AI3" s="538"/>
      <c r="AJ3" s="539" t="s">
        <v>302</v>
      </c>
      <c r="AK3" s="537">
        <v>1</v>
      </c>
      <c r="AL3" s="538" t="s">
        <v>351</v>
      </c>
      <c r="AM3" s="538"/>
      <c r="AN3" s="539" t="s">
        <v>302</v>
      </c>
      <c r="AO3" s="538">
        <v>1</v>
      </c>
      <c r="AP3" s="538" t="s">
        <v>348</v>
      </c>
      <c r="AQ3" s="538"/>
      <c r="AR3" s="539">
        <v>22.714285714285715</v>
      </c>
      <c r="AS3" s="537">
        <v>1</v>
      </c>
      <c r="AT3" s="538" t="s">
        <v>346</v>
      </c>
      <c r="AU3" s="538"/>
      <c r="AV3" s="539" t="s">
        <v>302</v>
      </c>
    </row>
    <row r="4" spans="1:48">
      <c r="A4" s="540">
        <v>2</v>
      </c>
      <c r="B4" s="324" t="s">
        <v>351</v>
      </c>
      <c r="C4" s="324"/>
      <c r="D4" s="541" t="s">
        <v>302</v>
      </c>
      <c r="E4" s="324">
        <v>2</v>
      </c>
      <c r="F4" s="324" t="s">
        <v>348</v>
      </c>
      <c r="G4" s="324"/>
      <c r="H4" s="541">
        <v>35.857142857142897</v>
      </c>
      <c r="I4" s="540">
        <v>2</v>
      </c>
      <c r="J4" s="324" t="s">
        <v>346</v>
      </c>
      <c r="K4" s="324"/>
      <c r="L4" s="541" t="s">
        <v>302</v>
      </c>
      <c r="M4" s="543">
        <v>2</v>
      </c>
      <c r="N4" s="543" t="s">
        <v>347</v>
      </c>
      <c r="O4" s="543"/>
      <c r="P4" s="544" t="s">
        <v>302</v>
      </c>
      <c r="Q4" s="540">
        <v>2</v>
      </c>
      <c r="R4" s="324" t="s">
        <v>348</v>
      </c>
      <c r="S4" s="324"/>
      <c r="T4" s="541">
        <v>48.857142857142854</v>
      </c>
      <c r="U4" s="540">
        <v>2</v>
      </c>
      <c r="V4" s="324" t="s">
        <v>349</v>
      </c>
      <c r="W4" s="324"/>
      <c r="X4" s="541" t="s">
        <v>302</v>
      </c>
      <c r="Y4" s="543">
        <v>2</v>
      </c>
      <c r="Z4" s="543" t="s">
        <v>352</v>
      </c>
      <c r="AA4" s="543"/>
      <c r="AB4" s="544" t="s">
        <v>302</v>
      </c>
      <c r="AC4" s="540">
        <v>2</v>
      </c>
      <c r="AD4" s="324" t="s">
        <v>348</v>
      </c>
      <c r="AE4" s="324"/>
      <c r="AF4" s="541">
        <v>9.7142857142857135</v>
      </c>
      <c r="AG4" s="324">
        <v>2</v>
      </c>
      <c r="AH4" s="324" t="s">
        <v>349</v>
      </c>
      <c r="AI4" s="324"/>
      <c r="AJ4" s="541" t="s">
        <v>302</v>
      </c>
      <c r="AK4" s="542">
        <v>2</v>
      </c>
      <c r="AL4" s="543" t="s">
        <v>347</v>
      </c>
      <c r="AM4" s="543"/>
      <c r="AN4" s="544" t="s">
        <v>302</v>
      </c>
      <c r="AO4" s="324">
        <v>2</v>
      </c>
      <c r="AP4" s="324" t="s">
        <v>350</v>
      </c>
      <c r="AQ4" s="324"/>
      <c r="AR4" s="541" t="s">
        <v>302</v>
      </c>
      <c r="AS4" s="540">
        <v>2</v>
      </c>
      <c r="AT4" s="324" t="s">
        <v>349</v>
      </c>
      <c r="AU4" s="324"/>
      <c r="AV4" s="541" t="s">
        <v>302</v>
      </c>
    </row>
    <row r="5" spans="1:48">
      <c r="A5" s="542">
        <v>3</v>
      </c>
      <c r="B5" s="543" t="s">
        <v>347</v>
      </c>
      <c r="C5" s="543"/>
      <c r="D5" s="544" t="s">
        <v>302</v>
      </c>
      <c r="E5" s="324">
        <v>3</v>
      </c>
      <c r="F5" s="324" t="s">
        <v>350</v>
      </c>
      <c r="G5" s="324"/>
      <c r="H5" s="541" t="s">
        <v>302</v>
      </c>
      <c r="I5" s="540">
        <v>3</v>
      </c>
      <c r="J5" s="324" t="s">
        <v>349</v>
      </c>
      <c r="K5" s="324"/>
      <c r="L5" s="541" t="s">
        <v>302</v>
      </c>
      <c r="M5" s="543">
        <v>3</v>
      </c>
      <c r="N5" s="543" t="s">
        <v>352</v>
      </c>
      <c r="O5" s="543"/>
      <c r="P5" s="544" t="s">
        <v>302</v>
      </c>
      <c r="Q5" s="540">
        <v>3</v>
      </c>
      <c r="R5" s="324" t="s">
        <v>350</v>
      </c>
      <c r="S5" s="324"/>
      <c r="T5" s="541" t="s">
        <v>302</v>
      </c>
      <c r="U5" s="540">
        <v>3</v>
      </c>
      <c r="V5" s="324" t="s">
        <v>351</v>
      </c>
      <c r="W5" s="324"/>
      <c r="X5" s="541" t="s">
        <v>302</v>
      </c>
      <c r="Y5" s="324">
        <v>3</v>
      </c>
      <c r="Z5" s="324" t="s">
        <v>348</v>
      </c>
      <c r="AA5" s="324"/>
      <c r="AB5" s="541">
        <v>5.7142857142857144</v>
      </c>
      <c r="AC5" s="540">
        <v>3</v>
      </c>
      <c r="AD5" s="324" t="s">
        <v>350</v>
      </c>
      <c r="AE5" s="324"/>
      <c r="AF5" s="541" t="s">
        <v>302</v>
      </c>
      <c r="AG5" s="324">
        <v>3</v>
      </c>
      <c r="AH5" s="324" t="s">
        <v>351</v>
      </c>
      <c r="AI5" s="324"/>
      <c r="AJ5" s="541" t="s">
        <v>302</v>
      </c>
      <c r="AK5" s="542">
        <v>3</v>
      </c>
      <c r="AL5" s="543" t="s">
        <v>352</v>
      </c>
      <c r="AM5" s="543"/>
      <c r="AN5" s="544" t="s">
        <v>302</v>
      </c>
      <c r="AO5" s="324">
        <v>3</v>
      </c>
      <c r="AP5" s="324" t="s">
        <v>346</v>
      </c>
      <c r="AQ5" s="324"/>
      <c r="AR5" s="541" t="s">
        <v>302</v>
      </c>
      <c r="AS5" s="540">
        <v>3</v>
      </c>
      <c r="AT5" s="324" t="s">
        <v>351</v>
      </c>
      <c r="AU5" s="324"/>
      <c r="AV5" s="541" t="s">
        <v>302</v>
      </c>
    </row>
    <row r="6" spans="1:48">
      <c r="A6" s="542">
        <v>4</v>
      </c>
      <c r="B6" s="543" t="s">
        <v>352</v>
      </c>
      <c r="C6" s="543"/>
      <c r="D6" s="544" t="s">
        <v>302</v>
      </c>
      <c r="E6" s="324">
        <v>4</v>
      </c>
      <c r="F6" s="324" t="s">
        <v>346</v>
      </c>
      <c r="G6" s="324"/>
      <c r="H6" s="541" t="s">
        <v>302</v>
      </c>
      <c r="I6" s="540">
        <v>4</v>
      </c>
      <c r="J6" s="324" t="s">
        <v>351</v>
      </c>
      <c r="K6" s="324"/>
      <c r="L6" s="541" t="s">
        <v>302</v>
      </c>
      <c r="M6" s="324">
        <v>4</v>
      </c>
      <c r="N6" s="324" t="s">
        <v>348</v>
      </c>
      <c r="O6" s="324"/>
      <c r="P6" s="541">
        <v>44.857142857142854</v>
      </c>
      <c r="Q6" s="540">
        <v>4</v>
      </c>
      <c r="R6" s="324" t="s">
        <v>346</v>
      </c>
      <c r="S6" s="324"/>
      <c r="T6" s="541" t="s">
        <v>302</v>
      </c>
      <c r="U6" s="542">
        <v>4</v>
      </c>
      <c r="V6" s="543" t="s">
        <v>347</v>
      </c>
      <c r="W6" s="543"/>
      <c r="X6" s="544" t="s">
        <v>302</v>
      </c>
      <c r="Y6" s="324">
        <v>4</v>
      </c>
      <c r="Z6" s="324" t="s">
        <v>350</v>
      </c>
      <c r="AA6" s="324"/>
      <c r="AB6" s="541" t="s">
        <v>302</v>
      </c>
      <c r="AC6" s="540">
        <v>4</v>
      </c>
      <c r="AD6" s="324" t="s">
        <v>346</v>
      </c>
      <c r="AE6" s="324"/>
      <c r="AF6" s="541" t="s">
        <v>302</v>
      </c>
      <c r="AG6" s="543">
        <v>4</v>
      </c>
      <c r="AH6" s="543" t="s">
        <v>347</v>
      </c>
      <c r="AI6" s="543"/>
      <c r="AJ6" s="544" t="s">
        <v>302</v>
      </c>
      <c r="AK6" s="540">
        <v>4</v>
      </c>
      <c r="AL6" s="324" t="s">
        <v>348</v>
      </c>
      <c r="AM6" s="324"/>
      <c r="AN6" s="541">
        <v>18.714285714285715</v>
      </c>
      <c r="AO6" s="324">
        <v>4</v>
      </c>
      <c r="AP6" s="324" t="s">
        <v>349</v>
      </c>
      <c r="AQ6" s="324"/>
      <c r="AR6" s="541" t="s">
        <v>302</v>
      </c>
      <c r="AS6" s="542">
        <v>4</v>
      </c>
      <c r="AT6" s="543" t="s">
        <v>347</v>
      </c>
      <c r="AU6" s="543"/>
      <c r="AV6" s="544" t="s">
        <v>302</v>
      </c>
    </row>
    <row r="7" spans="1:48">
      <c r="A7" s="540">
        <v>5</v>
      </c>
      <c r="B7" s="324" t="s">
        <v>348</v>
      </c>
      <c r="C7" s="324"/>
      <c r="D7" s="541">
        <v>32</v>
      </c>
      <c r="E7" s="324">
        <v>5</v>
      </c>
      <c r="F7" s="324" t="s">
        <v>349</v>
      </c>
      <c r="G7" s="324"/>
      <c r="H7" s="541" t="s">
        <v>302</v>
      </c>
      <c r="I7" s="542">
        <v>5</v>
      </c>
      <c r="J7" s="543" t="s">
        <v>347</v>
      </c>
      <c r="K7" s="543"/>
      <c r="L7" s="544" t="s">
        <v>302</v>
      </c>
      <c r="M7" s="324">
        <v>5</v>
      </c>
      <c r="N7" s="324" t="s">
        <v>350</v>
      </c>
      <c r="O7" s="324"/>
      <c r="P7" s="541" t="s">
        <v>302</v>
      </c>
      <c r="Q7" s="540">
        <v>5</v>
      </c>
      <c r="R7" s="324" t="s">
        <v>349</v>
      </c>
      <c r="S7" s="324"/>
      <c r="T7" s="541" t="s">
        <v>302</v>
      </c>
      <c r="U7" s="542">
        <v>5</v>
      </c>
      <c r="V7" s="543" t="s">
        <v>352</v>
      </c>
      <c r="W7" s="543"/>
      <c r="X7" s="544" t="s">
        <v>302</v>
      </c>
      <c r="Y7" s="324">
        <v>5</v>
      </c>
      <c r="Z7" s="324" t="s">
        <v>346</v>
      </c>
      <c r="AA7" s="324"/>
      <c r="AB7" s="541" t="s">
        <v>302</v>
      </c>
      <c r="AC7" s="540">
        <v>5</v>
      </c>
      <c r="AD7" s="324" t="s">
        <v>349</v>
      </c>
      <c r="AE7" s="324"/>
      <c r="AF7" s="541" t="s">
        <v>302</v>
      </c>
      <c r="AG7" s="543">
        <v>5</v>
      </c>
      <c r="AH7" s="543" t="s">
        <v>352</v>
      </c>
      <c r="AI7" s="543"/>
      <c r="AJ7" s="544" t="s">
        <v>302</v>
      </c>
      <c r="AK7" s="540">
        <v>5</v>
      </c>
      <c r="AL7" s="324" t="s">
        <v>350</v>
      </c>
      <c r="AM7" s="324"/>
      <c r="AN7" s="541" t="s">
        <v>302</v>
      </c>
      <c r="AO7" s="324">
        <v>5</v>
      </c>
      <c r="AP7" s="324" t="s">
        <v>351</v>
      </c>
      <c r="AQ7" s="324"/>
      <c r="AR7" s="541" t="s">
        <v>302</v>
      </c>
      <c r="AS7" s="542">
        <v>5</v>
      </c>
      <c r="AT7" s="543" t="s">
        <v>352</v>
      </c>
      <c r="AU7" s="543"/>
      <c r="AV7" s="544" t="s">
        <v>302</v>
      </c>
    </row>
    <row r="8" spans="1:48">
      <c r="A8" s="540">
        <v>6</v>
      </c>
      <c r="B8" s="324" t="s">
        <v>350</v>
      </c>
      <c r="C8" s="324"/>
      <c r="D8" s="541" t="s">
        <v>302</v>
      </c>
      <c r="E8" s="324">
        <v>6</v>
      </c>
      <c r="F8" s="324" t="s">
        <v>351</v>
      </c>
      <c r="G8" s="324"/>
      <c r="H8" s="541" t="s">
        <v>302</v>
      </c>
      <c r="I8" s="542">
        <v>6</v>
      </c>
      <c r="J8" s="543" t="s">
        <v>352</v>
      </c>
      <c r="K8" s="543"/>
      <c r="L8" s="544" t="s">
        <v>302</v>
      </c>
      <c r="M8" s="324">
        <v>6</v>
      </c>
      <c r="N8" s="324" t="s">
        <v>346</v>
      </c>
      <c r="O8" s="324"/>
      <c r="P8" s="541" t="s">
        <v>302</v>
      </c>
      <c r="Q8" s="540">
        <v>6</v>
      </c>
      <c r="R8" s="324" t="s">
        <v>351</v>
      </c>
      <c r="S8" s="324"/>
      <c r="T8" s="541" t="s">
        <v>302</v>
      </c>
      <c r="U8" s="540">
        <v>6</v>
      </c>
      <c r="V8" s="324" t="s">
        <v>348</v>
      </c>
      <c r="W8" s="324"/>
      <c r="X8" s="541">
        <v>1.7142857142857142</v>
      </c>
      <c r="Y8" s="324">
        <v>6</v>
      </c>
      <c r="Z8" s="324" t="s">
        <v>349</v>
      </c>
      <c r="AA8" s="324"/>
      <c r="AB8" s="541" t="s">
        <v>302</v>
      </c>
      <c r="AC8" s="540">
        <v>6</v>
      </c>
      <c r="AD8" s="324" t="s">
        <v>351</v>
      </c>
      <c r="AE8" s="324"/>
      <c r="AF8" s="541" t="s">
        <v>302</v>
      </c>
      <c r="AG8" s="324">
        <v>6</v>
      </c>
      <c r="AH8" s="324" t="s">
        <v>348</v>
      </c>
      <c r="AI8" s="324"/>
      <c r="AJ8" s="541">
        <v>14.714285714285714</v>
      </c>
      <c r="AK8" s="540">
        <v>6</v>
      </c>
      <c r="AL8" s="324" t="s">
        <v>346</v>
      </c>
      <c r="AM8" s="324"/>
      <c r="AN8" s="541" t="s">
        <v>302</v>
      </c>
      <c r="AO8" s="543">
        <v>6</v>
      </c>
      <c r="AP8" s="543" t="s">
        <v>347</v>
      </c>
      <c r="AQ8" s="543"/>
      <c r="AR8" s="544" t="s">
        <v>302</v>
      </c>
      <c r="AS8" s="540">
        <v>6</v>
      </c>
      <c r="AT8" s="324" t="s">
        <v>348</v>
      </c>
      <c r="AU8" s="324"/>
      <c r="AV8" s="541">
        <v>27.714285714285715</v>
      </c>
    </row>
    <row r="9" spans="1:48">
      <c r="A9" s="540">
        <v>7</v>
      </c>
      <c r="B9" s="324" t="s">
        <v>346</v>
      </c>
      <c r="C9" s="324"/>
      <c r="D9" s="541" t="s">
        <v>302</v>
      </c>
      <c r="E9" s="543">
        <v>7</v>
      </c>
      <c r="F9" s="543" t="s">
        <v>347</v>
      </c>
      <c r="G9" s="543"/>
      <c r="H9" s="544" t="s">
        <v>302</v>
      </c>
      <c r="I9" s="540">
        <v>7</v>
      </c>
      <c r="J9" s="324" t="s">
        <v>348</v>
      </c>
      <c r="K9" s="324"/>
      <c r="L9" s="541">
        <v>40.857142857142854</v>
      </c>
      <c r="M9" s="324">
        <v>7</v>
      </c>
      <c r="N9" s="324" t="s">
        <v>349</v>
      </c>
      <c r="O9" s="324"/>
      <c r="P9" s="541" t="s">
        <v>302</v>
      </c>
      <c r="Q9" s="542">
        <v>7</v>
      </c>
      <c r="R9" s="543" t="s">
        <v>347</v>
      </c>
      <c r="S9" s="543"/>
      <c r="T9" s="544" t="s">
        <v>302</v>
      </c>
      <c r="U9" s="540">
        <v>7</v>
      </c>
      <c r="V9" s="324" t="s">
        <v>350</v>
      </c>
      <c r="W9" s="324"/>
      <c r="X9" s="541" t="s">
        <v>302</v>
      </c>
      <c r="Y9" s="324">
        <v>7</v>
      </c>
      <c r="Z9" s="324" t="s">
        <v>351</v>
      </c>
      <c r="AA9" s="324"/>
      <c r="AB9" s="541" t="s">
        <v>302</v>
      </c>
      <c r="AC9" s="542">
        <v>7</v>
      </c>
      <c r="AD9" s="543" t="s">
        <v>347</v>
      </c>
      <c r="AE9" s="543"/>
      <c r="AF9" s="544" t="s">
        <v>302</v>
      </c>
      <c r="AG9" s="324">
        <v>7</v>
      </c>
      <c r="AH9" s="324" t="s">
        <v>350</v>
      </c>
      <c r="AI9" s="324"/>
      <c r="AJ9" s="541" t="s">
        <v>302</v>
      </c>
      <c r="AK9" s="540">
        <v>7</v>
      </c>
      <c r="AL9" s="324" t="s">
        <v>349</v>
      </c>
      <c r="AM9" s="324"/>
      <c r="AN9" s="541" t="s">
        <v>302</v>
      </c>
      <c r="AO9" s="543">
        <v>7</v>
      </c>
      <c r="AP9" s="543" t="s">
        <v>352</v>
      </c>
      <c r="AQ9" s="543"/>
      <c r="AR9" s="544" t="s">
        <v>302</v>
      </c>
      <c r="AS9" s="540">
        <v>7</v>
      </c>
      <c r="AT9" s="324" t="s">
        <v>350</v>
      </c>
      <c r="AU9" s="324"/>
      <c r="AV9" s="541" t="s">
        <v>302</v>
      </c>
    </row>
    <row r="10" spans="1:48">
      <c r="A10" s="540">
        <v>8</v>
      </c>
      <c r="B10" s="324" t="s">
        <v>349</v>
      </c>
      <c r="C10" s="324"/>
      <c r="D10" s="541" t="s">
        <v>302</v>
      </c>
      <c r="E10" s="543">
        <v>8</v>
      </c>
      <c r="F10" s="543" t="s">
        <v>352</v>
      </c>
      <c r="G10" s="543"/>
      <c r="H10" s="544" t="s">
        <v>302</v>
      </c>
      <c r="I10" s="540">
        <v>8</v>
      </c>
      <c r="J10" s="324" t="s">
        <v>350</v>
      </c>
      <c r="K10" s="324"/>
      <c r="L10" s="541" t="s">
        <v>302</v>
      </c>
      <c r="M10" s="324">
        <v>8</v>
      </c>
      <c r="N10" s="324" t="s">
        <v>351</v>
      </c>
      <c r="O10" s="324"/>
      <c r="P10" s="541" t="s">
        <v>302</v>
      </c>
      <c r="Q10" s="542">
        <v>8</v>
      </c>
      <c r="R10" s="543" t="s">
        <v>352</v>
      </c>
      <c r="S10" s="543"/>
      <c r="T10" s="544" t="s">
        <v>302</v>
      </c>
      <c r="U10" s="540">
        <v>8</v>
      </c>
      <c r="V10" s="324" t="s">
        <v>346</v>
      </c>
      <c r="W10" s="324"/>
      <c r="X10" s="541" t="s">
        <v>302</v>
      </c>
      <c r="Y10" s="543">
        <v>8</v>
      </c>
      <c r="Z10" s="543" t="s">
        <v>347</v>
      </c>
      <c r="AA10" s="543"/>
      <c r="AB10" s="544" t="s">
        <v>302</v>
      </c>
      <c r="AC10" s="542">
        <v>8</v>
      </c>
      <c r="AD10" s="543" t="s">
        <v>352</v>
      </c>
      <c r="AE10" s="543"/>
      <c r="AF10" s="544" t="s">
        <v>302</v>
      </c>
      <c r="AG10" s="324">
        <v>8</v>
      </c>
      <c r="AH10" s="324" t="s">
        <v>346</v>
      </c>
      <c r="AI10" s="324"/>
      <c r="AJ10" s="541" t="s">
        <v>302</v>
      </c>
      <c r="AK10" s="540">
        <v>8</v>
      </c>
      <c r="AL10" s="324" t="s">
        <v>351</v>
      </c>
      <c r="AM10" s="324"/>
      <c r="AN10" s="541" t="s">
        <v>302</v>
      </c>
      <c r="AO10" s="324">
        <v>8</v>
      </c>
      <c r="AP10" s="324" t="s">
        <v>348</v>
      </c>
      <c r="AQ10" s="324"/>
      <c r="AR10" s="541">
        <v>23.714285714285715</v>
      </c>
      <c r="AS10" s="540">
        <v>8</v>
      </c>
      <c r="AT10" s="324" t="s">
        <v>346</v>
      </c>
      <c r="AU10" s="324"/>
      <c r="AV10" s="541" t="s">
        <v>302</v>
      </c>
    </row>
    <row r="11" spans="1:48">
      <c r="A11" s="540">
        <v>9</v>
      </c>
      <c r="B11" s="324" t="s">
        <v>351</v>
      </c>
      <c r="C11" s="324"/>
      <c r="D11" s="541" t="s">
        <v>302</v>
      </c>
      <c r="E11" s="324">
        <v>9</v>
      </c>
      <c r="F11" s="324" t="s">
        <v>348</v>
      </c>
      <c r="G11" s="324"/>
      <c r="H11" s="541">
        <v>36.857142857142854</v>
      </c>
      <c r="I11" s="540">
        <v>9</v>
      </c>
      <c r="J11" s="324" t="s">
        <v>346</v>
      </c>
      <c r="K11" s="324"/>
      <c r="L11" s="541" t="s">
        <v>302</v>
      </c>
      <c r="M11" s="543">
        <v>9</v>
      </c>
      <c r="N11" s="543" t="s">
        <v>347</v>
      </c>
      <c r="O11" s="543"/>
      <c r="P11" s="544" t="s">
        <v>302</v>
      </c>
      <c r="Q11" s="540">
        <v>9</v>
      </c>
      <c r="R11" s="324" t="s">
        <v>348</v>
      </c>
      <c r="S11" s="324"/>
      <c r="T11" s="541">
        <v>49.857142857142854</v>
      </c>
      <c r="U11" s="540">
        <v>9</v>
      </c>
      <c r="V11" s="324" t="s">
        <v>349</v>
      </c>
      <c r="W11" s="324"/>
      <c r="X11" s="541" t="s">
        <v>302</v>
      </c>
      <c r="Y11" s="543">
        <v>9</v>
      </c>
      <c r="Z11" s="543" t="s">
        <v>352</v>
      </c>
      <c r="AA11" s="543"/>
      <c r="AB11" s="544" t="s">
        <v>302</v>
      </c>
      <c r="AC11" s="540">
        <v>9</v>
      </c>
      <c r="AD11" s="324" t="s">
        <v>348</v>
      </c>
      <c r="AE11" s="324"/>
      <c r="AF11" s="541">
        <v>10.714285714285714</v>
      </c>
      <c r="AG11" s="324">
        <v>9</v>
      </c>
      <c r="AH11" s="324" t="s">
        <v>349</v>
      </c>
      <c r="AI11" s="324"/>
      <c r="AJ11" s="541" t="s">
        <v>302</v>
      </c>
      <c r="AK11" s="542">
        <v>9</v>
      </c>
      <c r="AL11" s="543" t="s">
        <v>347</v>
      </c>
      <c r="AM11" s="543"/>
      <c r="AN11" s="544" t="s">
        <v>302</v>
      </c>
      <c r="AO11" s="324">
        <v>9</v>
      </c>
      <c r="AP11" s="324" t="s">
        <v>350</v>
      </c>
      <c r="AQ11" s="324"/>
      <c r="AR11" s="541" t="s">
        <v>302</v>
      </c>
      <c r="AS11" s="540">
        <v>9</v>
      </c>
      <c r="AT11" s="324" t="s">
        <v>349</v>
      </c>
      <c r="AU11" s="324"/>
      <c r="AV11" s="541" t="s">
        <v>302</v>
      </c>
    </row>
    <row r="12" spans="1:48">
      <c r="A12" s="542">
        <v>10</v>
      </c>
      <c r="B12" s="543" t="s">
        <v>347</v>
      </c>
      <c r="C12" s="543"/>
      <c r="D12" s="544" t="s">
        <v>302</v>
      </c>
      <c r="E12" s="324">
        <v>10</v>
      </c>
      <c r="F12" s="324" t="s">
        <v>350</v>
      </c>
      <c r="G12" s="324"/>
      <c r="H12" s="541" t="s">
        <v>302</v>
      </c>
      <c r="I12" s="540">
        <v>10</v>
      </c>
      <c r="J12" s="324" t="s">
        <v>349</v>
      </c>
      <c r="K12" s="324"/>
      <c r="L12" s="541" t="s">
        <v>302</v>
      </c>
      <c r="M12" s="543">
        <v>10</v>
      </c>
      <c r="N12" s="543" t="s">
        <v>352</v>
      </c>
      <c r="O12" s="543"/>
      <c r="P12" s="544" t="s">
        <v>302</v>
      </c>
      <c r="Q12" s="540">
        <v>10</v>
      </c>
      <c r="R12" s="324" t="s">
        <v>350</v>
      </c>
      <c r="S12" s="324"/>
      <c r="T12" s="541" t="s">
        <v>302</v>
      </c>
      <c r="U12" s="540">
        <v>10</v>
      </c>
      <c r="V12" s="324" t="s">
        <v>351</v>
      </c>
      <c r="W12" s="324"/>
      <c r="X12" s="541" t="s">
        <v>302</v>
      </c>
      <c r="Y12" s="324">
        <v>10</v>
      </c>
      <c r="Z12" s="324" t="s">
        <v>348</v>
      </c>
      <c r="AA12" s="324"/>
      <c r="AB12" s="541">
        <v>6.7142857142857144</v>
      </c>
      <c r="AC12" s="540">
        <v>10</v>
      </c>
      <c r="AD12" s="324" t="s">
        <v>350</v>
      </c>
      <c r="AE12" s="324"/>
      <c r="AF12" s="541" t="s">
        <v>302</v>
      </c>
      <c r="AG12" s="324">
        <v>10</v>
      </c>
      <c r="AH12" s="324" t="s">
        <v>351</v>
      </c>
      <c r="AI12" s="324"/>
      <c r="AJ12" s="541" t="s">
        <v>302</v>
      </c>
      <c r="AK12" s="542">
        <v>10</v>
      </c>
      <c r="AL12" s="543" t="s">
        <v>352</v>
      </c>
      <c r="AM12" s="543"/>
      <c r="AN12" s="544" t="s">
        <v>302</v>
      </c>
      <c r="AO12" s="324">
        <v>10</v>
      </c>
      <c r="AP12" s="324" t="s">
        <v>346</v>
      </c>
      <c r="AQ12" s="324"/>
      <c r="AR12" s="541" t="s">
        <v>302</v>
      </c>
      <c r="AS12" s="540">
        <v>10</v>
      </c>
      <c r="AT12" s="324" t="s">
        <v>351</v>
      </c>
      <c r="AU12" s="324"/>
      <c r="AV12" s="541" t="s">
        <v>302</v>
      </c>
    </row>
    <row r="13" spans="1:48">
      <c r="A13" s="542">
        <v>11</v>
      </c>
      <c r="B13" s="543" t="s">
        <v>352</v>
      </c>
      <c r="C13" s="543"/>
      <c r="D13" s="544" t="s">
        <v>302</v>
      </c>
      <c r="E13" s="324">
        <v>11</v>
      </c>
      <c r="F13" s="324" t="s">
        <v>346</v>
      </c>
      <c r="G13" s="324"/>
      <c r="H13" s="541" t="s">
        <v>302</v>
      </c>
      <c r="I13" s="540">
        <v>11</v>
      </c>
      <c r="J13" s="324" t="s">
        <v>351</v>
      </c>
      <c r="K13" s="324"/>
      <c r="L13" s="541" t="s">
        <v>302</v>
      </c>
      <c r="M13" s="324">
        <v>11</v>
      </c>
      <c r="N13" s="324" t="s">
        <v>348</v>
      </c>
      <c r="O13" s="324"/>
      <c r="P13" s="541">
        <v>45.857142857142854</v>
      </c>
      <c r="Q13" s="540">
        <v>11</v>
      </c>
      <c r="R13" s="324" t="s">
        <v>346</v>
      </c>
      <c r="S13" s="324"/>
      <c r="T13" s="541" t="s">
        <v>302</v>
      </c>
      <c r="U13" s="542">
        <v>11</v>
      </c>
      <c r="V13" s="543" t="s">
        <v>347</v>
      </c>
      <c r="W13" s="543"/>
      <c r="X13" s="544" t="s">
        <v>302</v>
      </c>
      <c r="Y13" s="324">
        <v>11</v>
      </c>
      <c r="Z13" s="324" t="s">
        <v>350</v>
      </c>
      <c r="AA13" s="324"/>
      <c r="AB13" s="541" t="s">
        <v>302</v>
      </c>
      <c r="AC13" s="540">
        <v>11</v>
      </c>
      <c r="AD13" s="324" t="s">
        <v>346</v>
      </c>
      <c r="AE13" s="324"/>
      <c r="AF13" s="541" t="s">
        <v>302</v>
      </c>
      <c r="AG13" s="543">
        <v>11</v>
      </c>
      <c r="AH13" s="543" t="s">
        <v>347</v>
      </c>
      <c r="AI13" s="543"/>
      <c r="AJ13" s="544" t="s">
        <v>302</v>
      </c>
      <c r="AK13" s="540">
        <v>11</v>
      </c>
      <c r="AL13" s="324" t="s">
        <v>348</v>
      </c>
      <c r="AM13" s="324"/>
      <c r="AN13" s="541">
        <v>19.714285714285715</v>
      </c>
      <c r="AO13" s="324">
        <v>11</v>
      </c>
      <c r="AP13" s="324" t="s">
        <v>349</v>
      </c>
      <c r="AQ13" s="324"/>
      <c r="AR13" s="541" t="s">
        <v>302</v>
      </c>
      <c r="AS13" s="542">
        <v>11</v>
      </c>
      <c r="AT13" s="543" t="s">
        <v>347</v>
      </c>
      <c r="AU13" s="543"/>
      <c r="AV13" s="544" t="s">
        <v>302</v>
      </c>
    </row>
    <row r="14" spans="1:48">
      <c r="A14" s="540">
        <v>12</v>
      </c>
      <c r="B14" s="324" t="s">
        <v>348</v>
      </c>
      <c r="C14" s="324"/>
      <c r="D14" s="541">
        <v>33</v>
      </c>
      <c r="E14" s="324">
        <v>12</v>
      </c>
      <c r="F14" s="324" t="s">
        <v>349</v>
      </c>
      <c r="G14" s="324"/>
      <c r="H14" s="541" t="s">
        <v>302</v>
      </c>
      <c r="I14" s="542">
        <v>12</v>
      </c>
      <c r="J14" s="543" t="s">
        <v>347</v>
      </c>
      <c r="K14" s="543"/>
      <c r="L14" s="544" t="s">
        <v>302</v>
      </c>
      <c r="M14" s="324">
        <v>12</v>
      </c>
      <c r="N14" s="324" t="s">
        <v>350</v>
      </c>
      <c r="O14" s="324"/>
      <c r="P14" s="541" t="s">
        <v>302</v>
      </c>
      <c r="Q14" s="540">
        <v>12</v>
      </c>
      <c r="R14" s="324" t="s">
        <v>349</v>
      </c>
      <c r="S14" s="324"/>
      <c r="T14" s="541" t="s">
        <v>302</v>
      </c>
      <c r="U14" s="542">
        <v>12</v>
      </c>
      <c r="V14" s="543" t="s">
        <v>352</v>
      </c>
      <c r="W14" s="543"/>
      <c r="X14" s="544" t="s">
        <v>302</v>
      </c>
      <c r="Y14" s="324">
        <v>12</v>
      </c>
      <c r="Z14" s="324" t="s">
        <v>346</v>
      </c>
      <c r="AA14" s="324"/>
      <c r="AB14" s="541" t="s">
        <v>302</v>
      </c>
      <c r="AC14" s="540">
        <v>12</v>
      </c>
      <c r="AD14" s="324" t="s">
        <v>349</v>
      </c>
      <c r="AE14" s="324"/>
      <c r="AF14" s="541" t="s">
        <v>302</v>
      </c>
      <c r="AG14" s="543">
        <v>12</v>
      </c>
      <c r="AH14" s="543" t="s">
        <v>352</v>
      </c>
      <c r="AI14" s="543"/>
      <c r="AJ14" s="544" t="s">
        <v>302</v>
      </c>
      <c r="AK14" s="540">
        <v>12</v>
      </c>
      <c r="AL14" s="324" t="s">
        <v>350</v>
      </c>
      <c r="AM14" s="324"/>
      <c r="AN14" s="541" t="s">
        <v>302</v>
      </c>
      <c r="AO14" s="324">
        <v>12</v>
      </c>
      <c r="AP14" s="324" t="s">
        <v>351</v>
      </c>
      <c r="AQ14" s="324"/>
      <c r="AR14" s="541" t="s">
        <v>302</v>
      </c>
      <c r="AS14" s="542">
        <v>12</v>
      </c>
      <c r="AT14" s="543" t="s">
        <v>352</v>
      </c>
      <c r="AU14" s="543"/>
      <c r="AV14" s="544" t="s">
        <v>302</v>
      </c>
    </row>
    <row r="15" spans="1:48">
      <c r="A15" s="540">
        <v>13</v>
      </c>
      <c r="B15" s="324" t="s">
        <v>350</v>
      </c>
      <c r="C15" s="324"/>
      <c r="D15" s="541" t="s">
        <v>302</v>
      </c>
      <c r="E15" s="324">
        <v>13</v>
      </c>
      <c r="F15" s="324" t="s">
        <v>351</v>
      </c>
      <c r="G15" s="324"/>
      <c r="H15" s="541" t="s">
        <v>302</v>
      </c>
      <c r="I15" s="542">
        <v>13</v>
      </c>
      <c r="J15" s="543" t="s">
        <v>352</v>
      </c>
      <c r="K15" s="543"/>
      <c r="L15" s="544" t="s">
        <v>302</v>
      </c>
      <c r="M15" s="324">
        <v>13</v>
      </c>
      <c r="N15" s="324" t="s">
        <v>346</v>
      </c>
      <c r="O15" s="324"/>
      <c r="P15" s="541" t="s">
        <v>302</v>
      </c>
      <c r="Q15" s="540">
        <v>13</v>
      </c>
      <c r="R15" s="324" t="s">
        <v>351</v>
      </c>
      <c r="S15" s="324"/>
      <c r="T15" s="541" t="s">
        <v>302</v>
      </c>
      <c r="U15" s="540">
        <v>13</v>
      </c>
      <c r="V15" s="324" t="s">
        <v>348</v>
      </c>
      <c r="W15" s="324"/>
      <c r="X15" s="541">
        <v>2.7142857142857144</v>
      </c>
      <c r="Y15" s="324">
        <v>13</v>
      </c>
      <c r="Z15" s="324" t="s">
        <v>349</v>
      </c>
      <c r="AA15" s="324"/>
      <c r="AB15" s="541" t="s">
        <v>302</v>
      </c>
      <c r="AC15" s="540">
        <v>13</v>
      </c>
      <c r="AD15" s="324" t="s">
        <v>351</v>
      </c>
      <c r="AE15" s="324"/>
      <c r="AF15" s="541" t="s">
        <v>302</v>
      </c>
      <c r="AG15" s="324">
        <v>13</v>
      </c>
      <c r="AH15" s="324" t="s">
        <v>348</v>
      </c>
      <c r="AI15" s="324"/>
      <c r="AJ15" s="541">
        <v>15.714285714285714</v>
      </c>
      <c r="AK15" s="540">
        <v>13</v>
      </c>
      <c r="AL15" s="324" t="s">
        <v>346</v>
      </c>
      <c r="AM15" s="324"/>
      <c r="AN15" s="541" t="s">
        <v>302</v>
      </c>
      <c r="AO15" s="543">
        <v>13</v>
      </c>
      <c r="AP15" s="543" t="s">
        <v>347</v>
      </c>
      <c r="AQ15" s="543"/>
      <c r="AR15" s="544" t="s">
        <v>302</v>
      </c>
      <c r="AS15" s="540">
        <v>13</v>
      </c>
      <c r="AT15" s="324" t="s">
        <v>348</v>
      </c>
      <c r="AU15" s="324"/>
      <c r="AV15" s="541">
        <v>28.714285714285715</v>
      </c>
    </row>
    <row r="16" spans="1:48">
      <c r="A16" s="540">
        <v>14</v>
      </c>
      <c r="B16" s="324" t="s">
        <v>346</v>
      </c>
      <c r="C16" s="324"/>
      <c r="D16" s="541" t="s">
        <v>302</v>
      </c>
      <c r="E16" s="543">
        <v>14</v>
      </c>
      <c r="F16" s="543" t="s">
        <v>347</v>
      </c>
      <c r="G16" s="543"/>
      <c r="H16" s="544" t="s">
        <v>302</v>
      </c>
      <c r="I16" s="540">
        <v>14</v>
      </c>
      <c r="J16" s="324" t="s">
        <v>348</v>
      </c>
      <c r="K16" s="324"/>
      <c r="L16" s="541">
        <v>41.857142857142854</v>
      </c>
      <c r="M16" s="324">
        <v>14</v>
      </c>
      <c r="N16" s="324" t="s">
        <v>349</v>
      </c>
      <c r="O16" s="324"/>
      <c r="P16" s="541" t="s">
        <v>302</v>
      </c>
      <c r="Q16" s="542">
        <v>14</v>
      </c>
      <c r="R16" s="543" t="s">
        <v>347</v>
      </c>
      <c r="S16" s="543"/>
      <c r="T16" s="544" t="s">
        <v>302</v>
      </c>
      <c r="U16" s="540">
        <v>14</v>
      </c>
      <c r="V16" s="324" t="s">
        <v>350</v>
      </c>
      <c r="W16" s="324"/>
      <c r="X16" s="541" t="s">
        <v>302</v>
      </c>
      <c r="Y16" s="324">
        <v>14</v>
      </c>
      <c r="Z16" s="324" t="s">
        <v>351</v>
      </c>
      <c r="AA16" s="324"/>
      <c r="AB16" s="541" t="s">
        <v>302</v>
      </c>
      <c r="AC16" s="542">
        <v>14</v>
      </c>
      <c r="AD16" s="543" t="s">
        <v>347</v>
      </c>
      <c r="AE16" s="543"/>
      <c r="AF16" s="544" t="s">
        <v>302</v>
      </c>
      <c r="AG16" s="324">
        <v>14</v>
      </c>
      <c r="AH16" s="324" t="s">
        <v>350</v>
      </c>
      <c r="AI16" s="324"/>
      <c r="AJ16" s="541" t="s">
        <v>302</v>
      </c>
      <c r="AK16" s="540">
        <v>14</v>
      </c>
      <c r="AL16" s="324" t="s">
        <v>349</v>
      </c>
      <c r="AM16" s="324"/>
      <c r="AN16" s="541" t="s">
        <v>302</v>
      </c>
      <c r="AO16" s="543">
        <v>14</v>
      </c>
      <c r="AP16" s="543" t="s">
        <v>352</v>
      </c>
      <c r="AQ16" s="543"/>
      <c r="AR16" s="544" t="s">
        <v>302</v>
      </c>
      <c r="AS16" s="540">
        <v>14</v>
      </c>
      <c r="AT16" s="324" t="s">
        <v>350</v>
      </c>
      <c r="AU16" s="324"/>
      <c r="AV16" s="541" t="s">
        <v>302</v>
      </c>
    </row>
    <row r="17" spans="1:48">
      <c r="A17" s="540">
        <v>15</v>
      </c>
      <c r="B17" s="324" t="s">
        <v>349</v>
      </c>
      <c r="C17" s="324"/>
      <c r="D17" s="541" t="s">
        <v>302</v>
      </c>
      <c r="E17" s="543">
        <v>15</v>
      </c>
      <c r="F17" s="543" t="s">
        <v>352</v>
      </c>
      <c r="G17" s="543"/>
      <c r="H17" s="544" t="s">
        <v>302</v>
      </c>
      <c r="I17" s="540">
        <v>15</v>
      </c>
      <c r="J17" s="324" t="s">
        <v>350</v>
      </c>
      <c r="K17" s="324"/>
      <c r="L17" s="541" t="s">
        <v>302</v>
      </c>
      <c r="M17" s="324">
        <v>15</v>
      </c>
      <c r="N17" s="324" t="s">
        <v>351</v>
      </c>
      <c r="O17" s="324"/>
      <c r="P17" s="541" t="s">
        <v>302</v>
      </c>
      <c r="Q17" s="542">
        <v>15</v>
      </c>
      <c r="R17" s="543" t="s">
        <v>352</v>
      </c>
      <c r="S17" s="543"/>
      <c r="T17" s="544" t="s">
        <v>302</v>
      </c>
      <c r="U17" s="540">
        <v>15</v>
      </c>
      <c r="V17" s="324" t="s">
        <v>346</v>
      </c>
      <c r="W17" s="324"/>
      <c r="X17" s="541" t="s">
        <v>302</v>
      </c>
      <c r="Y17" s="543">
        <v>15</v>
      </c>
      <c r="Z17" s="543" t="s">
        <v>347</v>
      </c>
      <c r="AA17" s="543"/>
      <c r="AB17" s="544" t="s">
        <v>302</v>
      </c>
      <c r="AC17" s="542">
        <v>15</v>
      </c>
      <c r="AD17" s="543" t="s">
        <v>352</v>
      </c>
      <c r="AE17" s="543"/>
      <c r="AF17" s="544" t="s">
        <v>302</v>
      </c>
      <c r="AG17" s="324">
        <v>15</v>
      </c>
      <c r="AH17" s="324" t="s">
        <v>346</v>
      </c>
      <c r="AI17" s="324"/>
      <c r="AJ17" s="541" t="s">
        <v>302</v>
      </c>
      <c r="AK17" s="540">
        <v>15</v>
      </c>
      <c r="AL17" s="324" t="s">
        <v>351</v>
      </c>
      <c r="AM17" s="324"/>
      <c r="AN17" s="541" t="s">
        <v>302</v>
      </c>
      <c r="AO17" s="324">
        <v>15</v>
      </c>
      <c r="AP17" s="324" t="s">
        <v>348</v>
      </c>
      <c r="AQ17" s="324"/>
      <c r="AR17" s="541">
        <v>24.714285714285715</v>
      </c>
      <c r="AS17" s="540">
        <v>15</v>
      </c>
      <c r="AT17" s="324" t="s">
        <v>346</v>
      </c>
      <c r="AU17" s="324"/>
      <c r="AV17" s="541" t="s">
        <v>302</v>
      </c>
    </row>
    <row r="18" spans="1:48">
      <c r="A18" s="540">
        <v>16</v>
      </c>
      <c r="B18" s="324" t="s">
        <v>351</v>
      </c>
      <c r="C18" s="324"/>
      <c r="D18" s="541" t="s">
        <v>302</v>
      </c>
      <c r="E18" s="324">
        <v>16</v>
      </c>
      <c r="F18" s="324" t="s">
        <v>348</v>
      </c>
      <c r="G18" s="324"/>
      <c r="H18" s="541">
        <v>37.857142857142854</v>
      </c>
      <c r="I18" s="540">
        <v>16</v>
      </c>
      <c r="J18" s="324" t="s">
        <v>346</v>
      </c>
      <c r="K18" s="324"/>
      <c r="L18" s="541" t="s">
        <v>302</v>
      </c>
      <c r="M18" s="543">
        <v>16</v>
      </c>
      <c r="N18" s="543" t="s">
        <v>347</v>
      </c>
      <c r="O18" s="543"/>
      <c r="P18" s="544" t="s">
        <v>302</v>
      </c>
      <c r="Q18" s="540">
        <v>16</v>
      </c>
      <c r="R18" s="324" t="s">
        <v>348</v>
      </c>
      <c r="S18" s="324"/>
      <c r="T18" s="541">
        <v>50.857142857142854</v>
      </c>
      <c r="U18" s="540">
        <v>16</v>
      </c>
      <c r="V18" s="324" t="s">
        <v>349</v>
      </c>
      <c r="W18" s="324"/>
      <c r="X18" s="541" t="s">
        <v>302</v>
      </c>
      <c r="Y18" s="543">
        <v>16</v>
      </c>
      <c r="Z18" s="543" t="s">
        <v>352</v>
      </c>
      <c r="AA18" s="543"/>
      <c r="AB18" s="544" t="s">
        <v>302</v>
      </c>
      <c r="AC18" s="540">
        <v>16</v>
      </c>
      <c r="AD18" s="324" t="s">
        <v>348</v>
      </c>
      <c r="AE18" s="324"/>
      <c r="AF18" s="541">
        <v>11.714285714285714</v>
      </c>
      <c r="AG18" s="324">
        <v>16</v>
      </c>
      <c r="AH18" s="324" t="s">
        <v>349</v>
      </c>
      <c r="AI18" s="324"/>
      <c r="AJ18" s="541" t="s">
        <v>302</v>
      </c>
      <c r="AK18" s="542">
        <v>16</v>
      </c>
      <c r="AL18" s="543" t="s">
        <v>347</v>
      </c>
      <c r="AM18" s="543"/>
      <c r="AN18" s="544" t="s">
        <v>302</v>
      </c>
      <c r="AO18" s="324">
        <v>16</v>
      </c>
      <c r="AP18" s="324" t="s">
        <v>350</v>
      </c>
      <c r="AQ18" s="324"/>
      <c r="AR18" s="541" t="s">
        <v>302</v>
      </c>
      <c r="AS18" s="540">
        <v>16</v>
      </c>
      <c r="AT18" s="324" t="s">
        <v>349</v>
      </c>
      <c r="AU18" s="324"/>
      <c r="AV18" s="541" t="s">
        <v>302</v>
      </c>
    </row>
    <row r="19" spans="1:48">
      <c r="A19" s="542">
        <v>17</v>
      </c>
      <c r="B19" s="543" t="s">
        <v>347</v>
      </c>
      <c r="C19" s="543"/>
      <c r="D19" s="544" t="s">
        <v>302</v>
      </c>
      <c r="E19" s="324">
        <v>17</v>
      </c>
      <c r="F19" s="324" t="s">
        <v>350</v>
      </c>
      <c r="G19" s="324"/>
      <c r="H19" s="541" t="s">
        <v>302</v>
      </c>
      <c r="I19" s="540">
        <v>17</v>
      </c>
      <c r="J19" s="324" t="s">
        <v>349</v>
      </c>
      <c r="K19" s="324"/>
      <c r="L19" s="541" t="s">
        <v>302</v>
      </c>
      <c r="M19" s="543">
        <v>17</v>
      </c>
      <c r="N19" s="543" t="s">
        <v>352</v>
      </c>
      <c r="O19" s="543"/>
      <c r="P19" s="544" t="s">
        <v>302</v>
      </c>
      <c r="Q19" s="540">
        <v>17</v>
      </c>
      <c r="R19" s="324" t="s">
        <v>350</v>
      </c>
      <c r="S19" s="324"/>
      <c r="T19" s="541" t="s">
        <v>302</v>
      </c>
      <c r="U19" s="540">
        <v>17</v>
      </c>
      <c r="V19" s="324" t="s">
        <v>351</v>
      </c>
      <c r="W19" s="324"/>
      <c r="X19" s="541" t="s">
        <v>302</v>
      </c>
      <c r="Y19" s="324">
        <v>17</v>
      </c>
      <c r="Z19" s="324" t="s">
        <v>348</v>
      </c>
      <c r="AA19" s="324"/>
      <c r="AB19" s="541">
        <v>7.7142857142857144</v>
      </c>
      <c r="AC19" s="540">
        <v>17</v>
      </c>
      <c r="AD19" s="324" t="s">
        <v>350</v>
      </c>
      <c r="AE19" s="324"/>
      <c r="AF19" s="541" t="s">
        <v>302</v>
      </c>
      <c r="AG19" s="324">
        <v>17</v>
      </c>
      <c r="AH19" s="324" t="s">
        <v>351</v>
      </c>
      <c r="AI19" s="324"/>
      <c r="AJ19" s="541" t="s">
        <v>302</v>
      </c>
      <c r="AK19" s="542">
        <v>17</v>
      </c>
      <c r="AL19" s="543" t="s">
        <v>352</v>
      </c>
      <c r="AM19" s="543"/>
      <c r="AN19" s="544" t="s">
        <v>302</v>
      </c>
      <c r="AO19" s="324">
        <v>17</v>
      </c>
      <c r="AP19" s="324" t="s">
        <v>346</v>
      </c>
      <c r="AQ19" s="324"/>
      <c r="AR19" s="541" t="s">
        <v>302</v>
      </c>
      <c r="AS19" s="540">
        <v>17</v>
      </c>
      <c r="AT19" s="324" t="s">
        <v>351</v>
      </c>
      <c r="AU19" s="324"/>
      <c r="AV19" s="541" t="s">
        <v>302</v>
      </c>
    </row>
    <row r="20" spans="1:48">
      <c r="A20" s="542">
        <v>18</v>
      </c>
      <c r="B20" s="543" t="s">
        <v>352</v>
      </c>
      <c r="C20" s="543"/>
      <c r="D20" s="544" t="s">
        <v>302</v>
      </c>
      <c r="E20" s="324">
        <v>18</v>
      </c>
      <c r="F20" s="324" t="s">
        <v>346</v>
      </c>
      <c r="G20" s="324"/>
      <c r="H20" s="541" t="s">
        <v>302</v>
      </c>
      <c r="I20" s="540">
        <v>18</v>
      </c>
      <c r="J20" s="324" t="s">
        <v>351</v>
      </c>
      <c r="K20" s="324"/>
      <c r="L20" s="541" t="s">
        <v>302</v>
      </c>
      <c r="M20" s="324">
        <v>18</v>
      </c>
      <c r="N20" s="324" t="s">
        <v>348</v>
      </c>
      <c r="O20" s="324"/>
      <c r="P20" s="541">
        <v>46.857142857142854</v>
      </c>
      <c r="Q20" s="540">
        <v>18</v>
      </c>
      <c r="R20" s="324" t="s">
        <v>346</v>
      </c>
      <c r="S20" s="324"/>
      <c r="T20" s="541" t="s">
        <v>302</v>
      </c>
      <c r="U20" s="542">
        <v>18</v>
      </c>
      <c r="V20" s="543" t="s">
        <v>347</v>
      </c>
      <c r="W20" s="543"/>
      <c r="X20" s="544" t="s">
        <v>302</v>
      </c>
      <c r="Y20" s="324">
        <v>18</v>
      </c>
      <c r="Z20" s="324" t="s">
        <v>350</v>
      </c>
      <c r="AA20" s="324"/>
      <c r="AB20" s="541" t="s">
        <v>302</v>
      </c>
      <c r="AC20" s="540">
        <v>18</v>
      </c>
      <c r="AD20" s="324" t="s">
        <v>346</v>
      </c>
      <c r="AE20" s="324"/>
      <c r="AF20" s="541" t="s">
        <v>302</v>
      </c>
      <c r="AG20" s="543">
        <v>18</v>
      </c>
      <c r="AH20" s="543" t="s">
        <v>347</v>
      </c>
      <c r="AI20" s="543"/>
      <c r="AJ20" s="544" t="s">
        <v>302</v>
      </c>
      <c r="AK20" s="540">
        <v>18</v>
      </c>
      <c r="AL20" s="324" t="s">
        <v>348</v>
      </c>
      <c r="AM20" s="324"/>
      <c r="AN20" s="541">
        <v>20.714285714285715</v>
      </c>
      <c r="AO20" s="324">
        <v>18</v>
      </c>
      <c r="AP20" s="324" t="s">
        <v>349</v>
      </c>
      <c r="AQ20" s="324"/>
      <c r="AR20" s="541" t="s">
        <v>302</v>
      </c>
      <c r="AS20" s="542">
        <v>18</v>
      </c>
      <c r="AT20" s="543" t="s">
        <v>347</v>
      </c>
      <c r="AU20" s="543"/>
      <c r="AV20" s="544" t="s">
        <v>302</v>
      </c>
    </row>
    <row r="21" spans="1:48">
      <c r="A21" s="540">
        <v>19</v>
      </c>
      <c r="B21" s="324" t="s">
        <v>348</v>
      </c>
      <c r="C21" s="324"/>
      <c r="D21" s="541">
        <v>34</v>
      </c>
      <c r="E21" s="324">
        <v>19</v>
      </c>
      <c r="F21" s="324" t="s">
        <v>349</v>
      </c>
      <c r="G21" s="324"/>
      <c r="H21" s="541" t="s">
        <v>302</v>
      </c>
      <c r="I21" s="542">
        <v>19</v>
      </c>
      <c r="J21" s="543" t="s">
        <v>347</v>
      </c>
      <c r="K21" s="543"/>
      <c r="L21" s="544" t="s">
        <v>302</v>
      </c>
      <c r="M21" s="324">
        <v>19</v>
      </c>
      <c r="N21" s="324" t="s">
        <v>350</v>
      </c>
      <c r="O21" s="324"/>
      <c r="P21" s="541" t="s">
        <v>302</v>
      </c>
      <c r="Q21" s="540">
        <v>19</v>
      </c>
      <c r="R21" s="324" t="s">
        <v>349</v>
      </c>
      <c r="S21" s="324"/>
      <c r="T21" s="541" t="s">
        <v>302</v>
      </c>
      <c r="U21" s="542">
        <v>19</v>
      </c>
      <c r="V21" s="543" t="s">
        <v>352</v>
      </c>
      <c r="W21" s="543"/>
      <c r="X21" s="544" t="s">
        <v>302</v>
      </c>
      <c r="Y21" s="324">
        <v>19</v>
      </c>
      <c r="Z21" s="324" t="s">
        <v>346</v>
      </c>
      <c r="AA21" s="324"/>
      <c r="AB21" s="541" t="s">
        <v>302</v>
      </c>
      <c r="AC21" s="540">
        <v>19</v>
      </c>
      <c r="AD21" s="324" t="s">
        <v>349</v>
      </c>
      <c r="AE21" s="324"/>
      <c r="AF21" s="541" t="s">
        <v>302</v>
      </c>
      <c r="AG21" s="543">
        <v>19</v>
      </c>
      <c r="AH21" s="543" t="s">
        <v>352</v>
      </c>
      <c r="AI21" s="543"/>
      <c r="AJ21" s="544" t="s">
        <v>302</v>
      </c>
      <c r="AK21" s="540">
        <v>19</v>
      </c>
      <c r="AL21" s="324" t="s">
        <v>350</v>
      </c>
      <c r="AM21" s="324"/>
      <c r="AN21" s="541" t="s">
        <v>302</v>
      </c>
      <c r="AO21" s="324">
        <v>19</v>
      </c>
      <c r="AP21" s="324" t="s">
        <v>351</v>
      </c>
      <c r="AQ21" s="324"/>
      <c r="AR21" s="541" t="s">
        <v>302</v>
      </c>
      <c r="AS21" s="542">
        <v>19</v>
      </c>
      <c r="AT21" s="543" t="s">
        <v>352</v>
      </c>
      <c r="AU21" s="543"/>
      <c r="AV21" s="544" t="s">
        <v>302</v>
      </c>
    </row>
    <row r="22" spans="1:48">
      <c r="A22" s="540">
        <v>20</v>
      </c>
      <c r="B22" s="324" t="s">
        <v>350</v>
      </c>
      <c r="C22" s="324"/>
      <c r="D22" s="541" t="s">
        <v>302</v>
      </c>
      <c r="E22" s="324">
        <v>20</v>
      </c>
      <c r="F22" s="324" t="s">
        <v>351</v>
      </c>
      <c r="G22" s="324"/>
      <c r="H22" s="541" t="s">
        <v>302</v>
      </c>
      <c r="I22" s="542">
        <v>20</v>
      </c>
      <c r="J22" s="543" t="s">
        <v>352</v>
      </c>
      <c r="K22" s="543"/>
      <c r="L22" s="544" t="s">
        <v>302</v>
      </c>
      <c r="M22" s="324">
        <v>20</v>
      </c>
      <c r="N22" s="324" t="s">
        <v>346</v>
      </c>
      <c r="O22" s="324"/>
      <c r="P22" s="541" t="s">
        <v>302</v>
      </c>
      <c r="Q22" s="540">
        <v>20</v>
      </c>
      <c r="R22" s="324" t="s">
        <v>351</v>
      </c>
      <c r="S22" s="324"/>
      <c r="T22" s="541" t="s">
        <v>302</v>
      </c>
      <c r="U22" s="540">
        <v>20</v>
      </c>
      <c r="V22" s="324" t="s">
        <v>348</v>
      </c>
      <c r="W22" s="324"/>
      <c r="X22" s="541">
        <v>3.7142857142857144</v>
      </c>
      <c r="Y22" s="324">
        <v>20</v>
      </c>
      <c r="Z22" s="324" t="s">
        <v>349</v>
      </c>
      <c r="AA22" s="324"/>
      <c r="AB22" s="541" t="s">
        <v>302</v>
      </c>
      <c r="AC22" s="540">
        <v>20</v>
      </c>
      <c r="AD22" s="324" t="s">
        <v>351</v>
      </c>
      <c r="AE22" s="324"/>
      <c r="AF22" s="541" t="s">
        <v>302</v>
      </c>
      <c r="AG22" s="324">
        <v>20</v>
      </c>
      <c r="AH22" s="324" t="s">
        <v>348</v>
      </c>
      <c r="AI22" s="324"/>
      <c r="AJ22" s="541">
        <v>16.714285714285715</v>
      </c>
      <c r="AK22" s="540">
        <v>20</v>
      </c>
      <c r="AL22" s="324" t="s">
        <v>346</v>
      </c>
      <c r="AM22" s="324"/>
      <c r="AN22" s="541" t="s">
        <v>302</v>
      </c>
      <c r="AO22" s="543">
        <v>20</v>
      </c>
      <c r="AP22" s="543" t="s">
        <v>347</v>
      </c>
      <c r="AQ22" s="543"/>
      <c r="AR22" s="544" t="s">
        <v>302</v>
      </c>
      <c r="AS22" s="540">
        <v>20</v>
      </c>
      <c r="AT22" s="324" t="s">
        <v>348</v>
      </c>
      <c r="AU22" s="324"/>
      <c r="AV22" s="541">
        <v>29.714285714285715</v>
      </c>
    </row>
    <row r="23" spans="1:48">
      <c r="A23" s="540">
        <v>21</v>
      </c>
      <c r="B23" s="324" t="s">
        <v>346</v>
      </c>
      <c r="C23" s="324"/>
      <c r="D23" s="541" t="s">
        <v>302</v>
      </c>
      <c r="E23" s="543">
        <v>21</v>
      </c>
      <c r="F23" s="543" t="s">
        <v>347</v>
      </c>
      <c r="G23" s="543"/>
      <c r="H23" s="544" t="s">
        <v>302</v>
      </c>
      <c r="I23" s="540">
        <v>21</v>
      </c>
      <c r="J23" s="324" t="s">
        <v>348</v>
      </c>
      <c r="K23" s="324"/>
      <c r="L23" s="541">
        <v>42.857142857142854</v>
      </c>
      <c r="M23" s="324">
        <v>21</v>
      </c>
      <c r="N23" s="324" t="s">
        <v>349</v>
      </c>
      <c r="O23" s="324"/>
      <c r="P23" s="541" t="s">
        <v>302</v>
      </c>
      <c r="Q23" s="542">
        <v>21</v>
      </c>
      <c r="R23" s="543" t="s">
        <v>347</v>
      </c>
      <c r="S23" s="543"/>
      <c r="T23" s="544" t="s">
        <v>302</v>
      </c>
      <c r="U23" s="540">
        <v>21</v>
      </c>
      <c r="V23" s="324" t="s">
        <v>350</v>
      </c>
      <c r="W23" s="324"/>
      <c r="X23" s="541" t="s">
        <v>302</v>
      </c>
      <c r="Y23" s="324">
        <v>21</v>
      </c>
      <c r="Z23" s="324" t="s">
        <v>351</v>
      </c>
      <c r="AA23" s="324"/>
      <c r="AB23" s="541" t="s">
        <v>302</v>
      </c>
      <c r="AC23" s="542">
        <v>21</v>
      </c>
      <c r="AD23" s="543" t="s">
        <v>347</v>
      </c>
      <c r="AE23" s="543"/>
      <c r="AF23" s="544" t="s">
        <v>302</v>
      </c>
      <c r="AG23" s="324">
        <v>21</v>
      </c>
      <c r="AH23" s="324" t="s">
        <v>350</v>
      </c>
      <c r="AI23" s="324"/>
      <c r="AJ23" s="541" t="s">
        <v>302</v>
      </c>
      <c r="AK23" s="540">
        <v>21</v>
      </c>
      <c r="AL23" s="324" t="s">
        <v>349</v>
      </c>
      <c r="AM23" s="324"/>
      <c r="AN23" s="541" t="s">
        <v>302</v>
      </c>
      <c r="AO23" s="543">
        <v>21</v>
      </c>
      <c r="AP23" s="543" t="s">
        <v>352</v>
      </c>
      <c r="AQ23" s="543"/>
      <c r="AR23" s="544" t="s">
        <v>302</v>
      </c>
      <c r="AS23" s="540">
        <v>21</v>
      </c>
      <c r="AT23" s="324" t="s">
        <v>350</v>
      </c>
      <c r="AU23" s="324"/>
      <c r="AV23" s="541" t="s">
        <v>302</v>
      </c>
    </row>
    <row r="24" spans="1:48">
      <c r="A24" s="540">
        <v>22</v>
      </c>
      <c r="B24" s="324" t="s">
        <v>349</v>
      </c>
      <c r="C24" s="324"/>
      <c r="D24" s="541" t="s">
        <v>302</v>
      </c>
      <c r="E24" s="543">
        <v>22</v>
      </c>
      <c r="F24" s="543" t="s">
        <v>352</v>
      </c>
      <c r="G24" s="543"/>
      <c r="H24" s="544" t="s">
        <v>302</v>
      </c>
      <c r="I24" s="540">
        <v>22</v>
      </c>
      <c r="J24" s="324" t="s">
        <v>350</v>
      </c>
      <c r="K24" s="324"/>
      <c r="L24" s="541" t="s">
        <v>302</v>
      </c>
      <c r="M24" s="324">
        <v>22</v>
      </c>
      <c r="N24" s="324" t="s">
        <v>351</v>
      </c>
      <c r="O24" s="324"/>
      <c r="P24" s="541" t="s">
        <v>302</v>
      </c>
      <c r="Q24" s="542">
        <v>22</v>
      </c>
      <c r="R24" s="543" t="s">
        <v>352</v>
      </c>
      <c r="S24" s="543"/>
      <c r="T24" s="544" t="s">
        <v>302</v>
      </c>
      <c r="U24" s="540">
        <v>22</v>
      </c>
      <c r="V24" s="324" t="s">
        <v>346</v>
      </c>
      <c r="W24" s="324"/>
      <c r="X24" s="541" t="s">
        <v>302</v>
      </c>
      <c r="Y24" s="543">
        <v>22</v>
      </c>
      <c r="Z24" s="543" t="s">
        <v>347</v>
      </c>
      <c r="AA24" s="543"/>
      <c r="AB24" s="544" t="s">
        <v>302</v>
      </c>
      <c r="AC24" s="542">
        <v>22</v>
      </c>
      <c r="AD24" s="543" t="s">
        <v>352</v>
      </c>
      <c r="AE24" s="543"/>
      <c r="AF24" s="544" t="s">
        <v>302</v>
      </c>
      <c r="AG24" s="324">
        <v>22</v>
      </c>
      <c r="AH24" s="324" t="s">
        <v>346</v>
      </c>
      <c r="AI24" s="324"/>
      <c r="AJ24" s="541" t="s">
        <v>302</v>
      </c>
      <c r="AK24" s="540">
        <v>22</v>
      </c>
      <c r="AL24" s="324" t="s">
        <v>351</v>
      </c>
      <c r="AM24" s="324"/>
      <c r="AN24" s="541" t="s">
        <v>302</v>
      </c>
      <c r="AO24" s="324">
        <v>22</v>
      </c>
      <c r="AP24" s="324" t="s">
        <v>348</v>
      </c>
      <c r="AQ24" s="324"/>
      <c r="AR24" s="541">
        <v>25.714285714285715</v>
      </c>
      <c r="AS24" s="540">
        <v>22</v>
      </c>
      <c r="AT24" s="324" t="s">
        <v>346</v>
      </c>
      <c r="AU24" s="324"/>
      <c r="AV24" s="541" t="s">
        <v>302</v>
      </c>
    </row>
    <row r="25" spans="1:48">
      <c r="A25" s="540">
        <v>23</v>
      </c>
      <c r="B25" s="324" t="s">
        <v>351</v>
      </c>
      <c r="C25" s="324"/>
      <c r="D25" s="541" t="s">
        <v>302</v>
      </c>
      <c r="E25" s="324">
        <v>23</v>
      </c>
      <c r="F25" s="324" t="s">
        <v>348</v>
      </c>
      <c r="G25" s="324"/>
      <c r="H25" s="541">
        <v>38.857142857142854</v>
      </c>
      <c r="I25" s="540">
        <v>23</v>
      </c>
      <c r="J25" s="324" t="s">
        <v>346</v>
      </c>
      <c r="K25" s="324"/>
      <c r="L25" s="541" t="s">
        <v>302</v>
      </c>
      <c r="M25" s="543">
        <v>23</v>
      </c>
      <c r="N25" s="543" t="s">
        <v>347</v>
      </c>
      <c r="O25" s="543"/>
      <c r="P25" s="544" t="s">
        <v>302</v>
      </c>
      <c r="Q25" s="540">
        <v>23</v>
      </c>
      <c r="R25" s="324" t="s">
        <v>348</v>
      </c>
      <c r="S25" s="324"/>
      <c r="T25" s="541">
        <v>51.857142857142854</v>
      </c>
      <c r="U25" s="540">
        <v>23</v>
      </c>
      <c r="V25" s="324" t="s">
        <v>349</v>
      </c>
      <c r="W25" s="324"/>
      <c r="X25" s="541" t="s">
        <v>302</v>
      </c>
      <c r="Y25" s="543">
        <v>23</v>
      </c>
      <c r="Z25" s="543" t="s">
        <v>352</v>
      </c>
      <c r="AA25" s="543"/>
      <c r="AB25" s="544" t="s">
        <v>302</v>
      </c>
      <c r="AC25" s="540">
        <v>23</v>
      </c>
      <c r="AD25" s="324" t="s">
        <v>348</v>
      </c>
      <c r="AE25" s="324"/>
      <c r="AF25" s="541">
        <v>12.714285714285714</v>
      </c>
      <c r="AG25" s="324">
        <v>23</v>
      </c>
      <c r="AH25" s="324" t="s">
        <v>349</v>
      </c>
      <c r="AI25" s="324"/>
      <c r="AJ25" s="541" t="s">
        <v>302</v>
      </c>
      <c r="AK25" s="542">
        <v>23</v>
      </c>
      <c r="AL25" s="543" t="s">
        <v>347</v>
      </c>
      <c r="AM25" s="543"/>
      <c r="AN25" s="544" t="s">
        <v>302</v>
      </c>
      <c r="AO25" s="324">
        <v>23</v>
      </c>
      <c r="AP25" s="324" t="s">
        <v>350</v>
      </c>
      <c r="AQ25" s="324"/>
      <c r="AR25" s="541" t="s">
        <v>302</v>
      </c>
      <c r="AS25" s="540">
        <v>23</v>
      </c>
      <c r="AT25" s="324" t="s">
        <v>349</v>
      </c>
      <c r="AU25" s="324"/>
      <c r="AV25" s="541" t="s">
        <v>302</v>
      </c>
    </row>
    <row r="26" spans="1:48">
      <c r="A26" s="542">
        <v>24</v>
      </c>
      <c r="B26" s="543" t="s">
        <v>347</v>
      </c>
      <c r="C26" s="543"/>
      <c r="D26" s="544" t="s">
        <v>302</v>
      </c>
      <c r="E26" s="324">
        <v>24</v>
      </c>
      <c r="F26" s="324" t="s">
        <v>350</v>
      </c>
      <c r="G26" s="324"/>
      <c r="H26" s="541" t="s">
        <v>302</v>
      </c>
      <c r="I26" s="540">
        <v>24</v>
      </c>
      <c r="J26" s="324" t="s">
        <v>349</v>
      </c>
      <c r="K26" s="324"/>
      <c r="L26" s="541" t="s">
        <v>302</v>
      </c>
      <c r="M26" s="543">
        <v>24</v>
      </c>
      <c r="N26" s="543" t="s">
        <v>352</v>
      </c>
      <c r="O26" s="543"/>
      <c r="P26" s="544" t="s">
        <v>302</v>
      </c>
      <c r="Q26" s="540">
        <v>24</v>
      </c>
      <c r="R26" s="324" t="s">
        <v>350</v>
      </c>
      <c r="S26" s="324"/>
      <c r="T26" s="541" t="s">
        <v>302</v>
      </c>
      <c r="U26" s="540">
        <v>24</v>
      </c>
      <c r="V26" s="324" t="s">
        <v>351</v>
      </c>
      <c r="W26" s="324"/>
      <c r="X26" s="541" t="s">
        <v>302</v>
      </c>
      <c r="Y26" s="324">
        <v>24</v>
      </c>
      <c r="Z26" s="324" t="s">
        <v>348</v>
      </c>
      <c r="AA26" s="324"/>
      <c r="AB26" s="541">
        <v>8.7142857142857135</v>
      </c>
      <c r="AC26" s="540">
        <v>24</v>
      </c>
      <c r="AD26" s="324" t="s">
        <v>350</v>
      </c>
      <c r="AE26" s="324"/>
      <c r="AF26" s="541" t="s">
        <v>302</v>
      </c>
      <c r="AG26" s="324">
        <v>24</v>
      </c>
      <c r="AH26" s="324" t="s">
        <v>351</v>
      </c>
      <c r="AI26" s="324"/>
      <c r="AJ26" s="541" t="s">
        <v>302</v>
      </c>
      <c r="AK26" s="542">
        <v>24</v>
      </c>
      <c r="AL26" s="543" t="s">
        <v>352</v>
      </c>
      <c r="AM26" s="543"/>
      <c r="AN26" s="544" t="s">
        <v>302</v>
      </c>
      <c r="AO26" s="324">
        <v>24</v>
      </c>
      <c r="AP26" s="324" t="s">
        <v>346</v>
      </c>
      <c r="AQ26" s="324"/>
      <c r="AR26" s="541" t="s">
        <v>302</v>
      </c>
      <c r="AS26" s="540">
        <v>24</v>
      </c>
      <c r="AT26" s="324" t="s">
        <v>351</v>
      </c>
      <c r="AU26" s="324"/>
      <c r="AV26" s="541" t="s">
        <v>302</v>
      </c>
    </row>
    <row r="27" spans="1:48">
      <c r="A27" s="542">
        <v>25</v>
      </c>
      <c r="B27" s="543" t="s">
        <v>352</v>
      </c>
      <c r="C27" s="543"/>
      <c r="D27" s="544" t="s">
        <v>302</v>
      </c>
      <c r="E27" s="324">
        <v>25</v>
      </c>
      <c r="F27" s="324" t="s">
        <v>346</v>
      </c>
      <c r="G27" s="324"/>
      <c r="H27" s="541" t="s">
        <v>302</v>
      </c>
      <c r="I27" s="540">
        <v>25</v>
      </c>
      <c r="J27" s="324" t="s">
        <v>351</v>
      </c>
      <c r="K27" s="324"/>
      <c r="L27" s="541" t="s">
        <v>302</v>
      </c>
      <c r="M27" s="324">
        <v>25</v>
      </c>
      <c r="N27" s="324" t="s">
        <v>348</v>
      </c>
      <c r="O27" s="324"/>
      <c r="P27" s="541">
        <v>47.857142857142854</v>
      </c>
      <c r="Q27" s="540">
        <v>25</v>
      </c>
      <c r="R27" s="324" t="s">
        <v>346</v>
      </c>
      <c r="S27" s="324"/>
      <c r="T27" s="541" t="s">
        <v>302</v>
      </c>
      <c r="U27" s="542">
        <v>25</v>
      </c>
      <c r="V27" s="543" t="s">
        <v>347</v>
      </c>
      <c r="W27" s="543"/>
      <c r="X27" s="544" t="s">
        <v>302</v>
      </c>
      <c r="Y27" s="324">
        <v>25</v>
      </c>
      <c r="Z27" s="324" t="s">
        <v>350</v>
      </c>
      <c r="AA27" s="324"/>
      <c r="AB27" s="541" t="s">
        <v>302</v>
      </c>
      <c r="AC27" s="540">
        <v>25</v>
      </c>
      <c r="AD27" s="324" t="s">
        <v>346</v>
      </c>
      <c r="AE27" s="324"/>
      <c r="AF27" s="541" t="s">
        <v>302</v>
      </c>
      <c r="AG27" s="543">
        <v>25</v>
      </c>
      <c r="AH27" s="543" t="s">
        <v>347</v>
      </c>
      <c r="AI27" s="543"/>
      <c r="AJ27" s="544" t="s">
        <v>302</v>
      </c>
      <c r="AK27" s="540">
        <v>25</v>
      </c>
      <c r="AL27" s="324" t="s">
        <v>348</v>
      </c>
      <c r="AM27" s="324"/>
      <c r="AN27" s="541">
        <v>21.714285714285715</v>
      </c>
      <c r="AO27" s="324">
        <v>25</v>
      </c>
      <c r="AP27" s="324" t="s">
        <v>349</v>
      </c>
      <c r="AQ27" s="324"/>
      <c r="AR27" s="541" t="s">
        <v>302</v>
      </c>
      <c r="AS27" s="542">
        <v>25</v>
      </c>
      <c r="AT27" s="543" t="s">
        <v>347</v>
      </c>
      <c r="AU27" s="543"/>
      <c r="AV27" s="544" t="s">
        <v>302</v>
      </c>
    </row>
    <row r="28" spans="1:48">
      <c r="A28" s="540">
        <v>26</v>
      </c>
      <c r="B28" s="324" t="s">
        <v>348</v>
      </c>
      <c r="C28" s="324"/>
      <c r="D28" s="541">
        <v>35</v>
      </c>
      <c r="E28" s="324">
        <v>26</v>
      </c>
      <c r="F28" s="324" t="s">
        <v>349</v>
      </c>
      <c r="G28" s="324"/>
      <c r="H28" s="541" t="s">
        <v>302</v>
      </c>
      <c r="I28" s="542">
        <v>26</v>
      </c>
      <c r="J28" s="543" t="s">
        <v>347</v>
      </c>
      <c r="K28" s="543"/>
      <c r="L28" s="544" t="s">
        <v>302</v>
      </c>
      <c r="M28" s="324">
        <v>26</v>
      </c>
      <c r="N28" s="324" t="s">
        <v>350</v>
      </c>
      <c r="O28" s="324"/>
      <c r="P28" s="541" t="s">
        <v>302</v>
      </c>
      <c r="Q28" s="540">
        <v>26</v>
      </c>
      <c r="R28" s="324" t="s">
        <v>349</v>
      </c>
      <c r="S28" s="324"/>
      <c r="T28" s="541" t="s">
        <v>302</v>
      </c>
      <c r="U28" s="542">
        <v>26</v>
      </c>
      <c r="V28" s="543" t="s">
        <v>352</v>
      </c>
      <c r="W28" s="543"/>
      <c r="X28" s="544" t="s">
        <v>302</v>
      </c>
      <c r="Y28" s="324">
        <v>26</v>
      </c>
      <c r="Z28" s="324" t="s">
        <v>346</v>
      </c>
      <c r="AA28" s="324"/>
      <c r="AB28" s="541" t="s">
        <v>302</v>
      </c>
      <c r="AC28" s="540">
        <v>26</v>
      </c>
      <c r="AD28" s="324" t="s">
        <v>349</v>
      </c>
      <c r="AE28" s="324"/>
      <c r="AF28" s="541" t="s">
        <v>302</v>
      </c>
      <c r="AG28" s="543">
        <v>26</v>
      </c>
      <c r="AH28" s="543" t="s">
        <v>352</v>
      </c>
      <c r="AI28" s="543"/>
      <c r="AJ28" s="544" t="s">
        <v>302</v>
      </c>
      <c r="AK28" s="540">
        <v>26</v>
      </c>
      <c r="AL28" s="324" t="s">
        <v>350</v>
      </c>
      <c r="AM28" s="324"/>
      <c r="AN28" s="541" t="s">
        <v>302</v>
      </c>
      <c r="AO28" s="324">
        <v>26</v>
      </c>
      <c r="AP28" s="324" t="s">
        <v>351</v>
      </c>
      <c r="AQ28" s="324"/>
      <c r="AR28" s="541" t="s">
        <v>302</v>
      </c>
      <c r="AS28" s="542">
        <v>26</v>
      </c>
      <c r="AT28" s="543" t="s">
        <v>352</v>
      </c>
      <c r="AU28" s="543"/>
      <c r="AV28" s="544" t="s">
        <v>302</v>
      </c>
    </row>
    <row r="29" spans="1:48">
      <c r="A29" s="540">
        <v>27</v>
      </c>
      <c r="B29" s="324" t="s">
        <v>350</v>
      </c>
      <c r="C29" s="324"/>
      <c r="D29" s="541" t="s">
        <v>302</v>
      </c>
      <c r="E29" s="324">
        <v>27</v>
      </c>
      <c r="F29" s="324" t="s">
        <v>351</v>
      </c>
      <c r="G29" s="324"/>
      <c r="H29" s="541" t="s">
        <v>302</v>
      </c>
      <c r="I29" s="542">
        <v>27</v>
      </c>
      <c r="J29" s="543" t="s">
        <v>352</v>
      </c>
      <c r="K29" s="543"/>
      <c r="L29" s="544" t="s">
        <v>302</v>
      </c>
      <c r="M29" s="324">
        <v>27</v>
      </c>
      <c r="N29" s="324" t="s">
        <v>346</v>
      </c>
      <c r="O29" s="324"/>
      <c r="P29" s="541" t="s">
        <v>302</v>
      </c>
      <c r="Q29" s="540">
        <v>27</v>
      </c>
      <c r="R29" s="324" t="s">
        <v>351</v>
      </c>
      <c r="S29" s="324"/>
      <c r="T29" s="541" t="s">
        <v>302</v>
      </c>
      <c r="U29" s="540">
        <v>27</v>
      </c>
      <c r="V29" s="324" t="s">
        <v>348</v>
      </c>
      <c r="W29" s="324"/>
      <c r="X29" s="541">
        <v>4.7142857142857144</v>
      </c>
      <c r="Y29" s="324">
        <v>27</v>
      </c>
      <c r="Z29" s="324" t="s">
        <v>349</v>
      </c>
      <c r="AA29" s="324"/>
      <c r="AB29" s="541" t="s">
        <v>302</v>
      </c>
      <c r="AC29" s="540">
        <v>27</v>
      </c>
      <c r="AD29" s="324" t="s">
        <v>351</v>
      </c>
      <c r="AE29" s="324"/>
      <c r="AF29" s="541" t="s">
        <v>302</v>
      </c>
      <c r="AG29" s="324">
        <v>27</v>
      </c>
      <c r="AH29" s="324" t="s">
        <v>348</v>
      </c>
      <c r="AI29" s="324"/>
      <c r="AJ29" s="541">
        <v>17.714285714285715</v>
      </c>
      <c r="AK29" s="540">
        <v>27</v>
      </c>
      <c r="AL29" s="324" t="s">
        <v>346</v>
      </c>
      <c r="AM29" s="324"/>
      <c r="AN29" s="541" t="s">
        <v>302</v>
      </c>
      <c r="AO29" s="543">
        <v>27</v>
      </c>
      <c r="AP29" s="543" t="s">
        <v>347</v>
      </c>
      <c r="AQ29" s="543"/>
      <c r="AR29" s="544" t="s">
        <v>302</v>
      </c>
      <c r="AS29" s="540">
        <v>27</v>
      </c>
      <c r="AT29" s="324" t="s">
        <v>348</v>
      </c>
      <c r="AU29" s="324"/>
      <c r="AV29" s="541">
        <v>30.714285714285715</v>
      </c>
    </row>
    <row r="30" spans="1:48">
      <c r="A30" s="540">
        <v>28</v>
      </c>
      <c r="B30" s="324" t="s">
        <v>346</v>
      </c>
      <c r="C30" s="324"/>
      <c r="D30" s="541" t="s">
        <v>302</v>
      </c>
      <c r="E30" s="543">
        <v>28</v>
      </c>
      <c r="F30" s="543" t="s">
        <v>347</v>
      </c>
      <c r="G30" s="543"/>
      <c r="H30" s="544" t="s">
        <v>302</v>
      </c>
      <c r="I30" s="540">
        <v>28</v>
      </c>
      <c r="J30" s="324" t="s">
        <v>348</v>
      </c>
      <c r="K30" s="324"/>
      <c r="L30" s="541">
        <v>43.857142857142854</v>
      </c>
      <c r="M30" s="324">
        <v>28</v>
      </c>
      <c r="N30" s="324" t="s">
        <v>349</v>
      </c>
      <c r="O30" s="324"/>
      <c r="P30" s="541" t="s">
        <v>302</v>
      </c>
      <c r="Q30" s="542">
        <v>28</v>
      </c>
      <c r="R30" s="543" t="s">
        <v>347</v>
      </c>
      <c r="S30" s="543"/>
      <c r="T30" s="544" t="s">
        <v>302</v>
      </c>
      <c r="U30" s="540">
        <v>28</v>
      </c>
      <c r="V30" s="324" t="s">
        <v>350</v>
      </c>
      <c r="W30" s="324"/>
      <c r="X30" s="541" t="s">
        <v>302</v>
      </c>
      <c r="Y30" s="324">
        <v>28</v>
      </c>
      <c r="Z30" s="324" t="s">
        <v>351</v>
      </c>
      <c r="AA30" s="324"/>
      <c r="AB30" s="541" t="s">
        <v>302</v>
      </c>
      <c r="AC30" s="542">
        <v>28</v>
      </c>
      <c r="AD30" s="543" t="s">
        <v>347</v>
      </c>
      <c r="AE30" s="543"/>
      <c r="AF30" s="544" t="s">
        <v>302</v>
      </c>
      <c r="AG30" s="324">
        <v>28</v>
      </c>
      <c r="AH30" s="324" t="s">
        <v>350</v>
      </c>
      <c r="AI30" s="324"/>
      <c r="AJ30" s="541" t="s">
        <v>302</v>
      </c>
      <c r="AK30" s="540">
        <v>28</v>
      </c>
      <c r="AL30" s="324" t="s">
        <v>349</v>
      </c>
      <c r="AM30" s="324"/>
      <c r="AN30" s="541" t="s">
        <v>302</v>
      </c>
      <c r="AO30" s="543">
        <v>28</v>
      </c>
      <c r="AP30" s="543" t="s">
        <v>352</v>
      </c>
      <c r="AQ30" s="543"/>
      <c r="AR30" s="544" t="s">
        <v>302</v>
      </c>
      <c r="AS30" s="540">
        <v>28</v>
      </c>
      <c r="AT30" s="324" t="s">
        <v>350</v>
      </c>
      <c r="AU30" s="324"/>
      <c r="AV30" s="541" t="s">
        <v>302</v>
      </c>
    </row>
    <row r="31" spans="1:48">
      <c r="A31" s="540">
        <v>29</v>
      </c>
      <c r="B31" s="324" t="s">
        <v>349</v>
      </c>
      <c r="C31" s="324"/>
      <c r="D31" s="541" t="s">
        <v>302</v>
      </c>
      <c r="E31" s="543">
        <v>29</v>
      </c>
      <c r="F31" s="543" t="s">
        <v>352</v>
      </c>
      <c r="G31" s="543"/>
      <c r="H31" s="544" t="s">
        <v>302</v>
      </c>
      <c r="I31" s="540">
        <v>29</v>
      </c>
      <c r="J31" s="324" t="s">
        <v>350</v>
      </c>
      <c r="K31" s="324"/>
      <c r="L31" s="541" t="s">
        <v>302</v>
      </c>
      <c r="M31" s="324">
        <v>29</v>
      </c>
      <c r="N31" s="324" t="s">
        <v>351</v>
      </c>
      <c r="O31" s="324"/>
      <c r="P31" s="541" t="s">
        <v>302</v>
      </c>
      <c r="Q31" s="542">
        <v>29</v>
      </c>
      <c r="R31" s="543" t="s">
        <v>352</v>
      </c>
      <c r="S31" s="543"/>
      <c r="T31" s="544" t="s">
        <v>302</v>
      </c>
      <c r="U31" s="540">
        <v>29</v>
      </c>
      <c r="V31" s="324" t="s">
        <v>346</v>
      </c>
      <c r="W31" s="324"/>
      <c r="X31" s="541" t="s">
        <v>302</v>
      </c>
      <c r="Y31" s="548">
        <v>29</v>
      </c>
      <c r="Z31" s="548" t="s">
        <v>347</v>
      </c>
      <c r="AA31" s="548"/>
      <c r="AB31" s="549" t="s">
        <v>302</v>
      </c>
      <c r="AC31" s="542">
        <v>29</v>
      </c>
      <c r="AD31" s="543" t="s">
        <v>352</v>
      </c>
      <c r="AE31" s="543"/>
      <c r="AF31" s="544" t="s">
        <v>302</v>
      </c>
      <c r="AG31" s="324">
        <v>29</v>
      </c>
      <c r="AH31" s="324" t="s">
        <v>346</v>
      </c>
      <c r="AI31" s="324"/>
      <c r="AJ31" s="541" t="s">
        <v>302</v>
      </c>
      <c r="AK31" s="540">
        <v>29</v>
      </c>
      <c r="AL31" s="324" t="s">
        <v>351</v>
      </c>
      <c r="AM31" s="324"/>
      <c r="AN31" s="541" t="s">
        <v>302</v>
      </c>
      <c r="AO31" s="324">
        <v>29</v>
      </c>
      <c r="AP31" s="324" t="s">
        <v>348</v>
      </c>
      <c r="AQ31" s="324"/>
      <c r="AR31" s="541">
        <v>26.714285714285715</v>
      </c>
      <c r="AS31" s="540">
        <v>29</v>
      </c>
      <c r="AT31" s="324" t="s">
        <v>346</v>
      </c>
      <c r="AU31" s="324"/>
      <c r="AV31" s="541" t="s">
        <v>302</v>
      </c>
    </row>
    <row r="32" spans="1:48">
      <c r="A32" s="540">
        <v>30</v>
      </c>
      <c r="B32" s="324" t="s">
        <v>351</v>
      </c>
      <c r="C32" s="324"/>
      <c r="D32" s="541" t="s">
        <v>302</v>
      </c>
      <c r="E32" s="313">
        <v>30</v>
      </c>
      <c r="F32" s="313" t="s">
        <v>348</v>
      </c>
      <c r="G32" s="313"/>
      <c r="H32" s="546">
        <v>39.857142857142854</v>
      </c>
      <c r="I32" s="540">
        <v>30</v>
      </c>
      <c r="J32" s="324" t="s">
        <v>346</v>
      </c>
      <c r="K32" s="324"/>
      <c r="L32" s="541" t="s">
        <v>302</v>
      </c>
      <c r="M32" s="548">
        <v>30</v>
      </c>
      <c r="N32" s="548" t="s">
        <v>347</v>
      </c>
      <c r="O32" s="548"/>
      <c r="P32" s="549" t="s">
        <v>302</v>
      </c>
      <c r="Q32" s="540">
        <v>30</v>
      </c>
      <c r="R32" s="324" t="s">
        <v>348</v>
      </c>
      <c r="S32" s="324"/>
      <c r="T32" s="541">
        <v>1</v>
      </c>
      <c r="U32" s="540">
        <v>30</v>
      </c>
      <c r="V32" s="324" t="s">
        <v>349</v>
      </c>
      <c r="W32" s="324"/>
      <c r="X32" s="541" t="s">
        <v>302</v>
      </c>
      <c r="AC32" s="540">
        <v>30</v>
      </c>
      <c r="AD32" s="324" t="s">
        <v>348</v>
      </c>
      <c r="AE32" s="324"/>
      <c r="AF32" s="541">
        <v>13.714285714285714</v>
      </c>
      <c r="AG32" s="313">
        <v>30</v>
      </c>
      <c r="AH32" s="313" t="s">
        <v>349</v>
      </c>
      <c r="AI32" s="313"/>
      <c r="AJ32" s="546" t="s">
        <v>302</v>
      </c>
      <c r="AK32" s="542">
        <v>30</v>
      </c>
      <c r="AL32" s="543" t="s">
        <v>347</v>
      </c>
      <c r="AM32" s="543"/>
      <c r="AN32" s="544" t="s">
        <v>302</v>
      </c>
      <c r="AO32" s="313">
        <v>30</v>
      </c>
      <c r="AP32" s="313" t="s">
        <v>350</v>
      </c>
      <c r="AQ32" s="313"/>
      <c r="AR32" s="546" t="s">
        <v>302</v>
      </c>
      <c r="AS32" s="540">
        <v>30</v>
      </c>
      <c r="AT32" s="324" t="s">
        <v>349</v>
      </c>
      <c r="AU32" s="324"/>
      <c r="AV32" s="541" t="s">
        <v>302</v>
      </c>
    </row>
    <row r="33" spans="1:48">
      <c r="A33" s="547">
        <v>31</v>
      </c>
      <c r="B33" s="548" t="s">
        <v>347</v>
      </c>
      <c r="C33" s="548"/>
      <c r="D33" s="549" t="s">
        <v>302</v>
      </c>
      <c r="I33" s="545">
        <v>31</v>
      </c>
      <c r="J33" s="313" t="s">
        <v>349</v>
      </c>
      <c r="K33" s="313"/>
      <c r="L33" s="546" t="s">
        <v>302</v>
      </c>
      <c r="Q33" s="545">
        <v>31</v>
      </c>
      <c r="R33" s="313" t="s">
        <v>350</v>
      </c>
      <c r="S33" s="313"/>
      <c r="T33" s="546" t="s">
        <v>302</v>
      </c>
      <c r="U33" s="545">
        <v>31</v>
      </c>
      <c r="V33" s="313" t="s">
        <v>351</v>
      </c>
      <c r="W33" s="313"/>
      <c r="X33" s="546" t="s">
        <v>302</v>
      </c>
      <c r="AC33" s="545">
        <v>31</v>
      </c>
      <c r="AD33" s="313" t="s">
        <v>350</v>
      </c>
      <c r="AE33" s="313"/>
      <c r="AF33" s="546" t="s">
        <v>302</v>
      </c>
      <c r="AK33" s="547">
        <v>31</v>
      </c>
      <c r="AL33" s="548" t="s">
        <v>352</v>
      </c>
      <c r="AM33" s="548"/>
      <c r="AN33" s="549" t="s">
        <v>302</v>
      </c>
      <c r="AS33" s="545">
        <v>31</v>
      </c>
      <c r="AT33" s="313" t="s">
        <v>351</v>
      </c>
      <c r="AU33" s="313"/>
      <c r="AV33" s="546" t="s">
        <v>302</v>
      </c>
    </row>
  </sheetData>
  <phoneticPr fontId="5" type="noConversion"/>
  <pageMargins left="0.7" right="0.7" top="0.75" bottom="0.75" header="0.3" footer="0.3"/>
  <pageSetup paperSize="9" scale="53"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33"/>
  <sheetViews>
    <sheetView workbookViewId="0">
      <selection sqref="A1:X1"/>
    </sheetView>
  </sheetViews>
  <sheetFormatPr baseColWidth="10" defaultRowHeight="16"/>
  <cols>
    <col min="1" max="2" width="3.6640625" customWidth="1"/>
    <col min="3" max="3" width="18.83203125" customWidth="1"/>
    <col min="4" max="6" width="3.6640625" customWidth="1"/>
    <col min="7" max="7" width="18.83203125" customWidth="1"/>
    <col min="8" max="10" width="3.6640625" customWidth="1"/>
    <col min="11" max="11" width="18.83203125" customWidth="1"/>
    <col min="12" max="14" width="3.6640625" customWidth="1"/>
    <col min="15" max="15" width="18.83203125" customWidth="1"/>
    <col min="16" max="18" width="3.6640625" customWidth="1"/>
    <col min="19" max="19" width="18.83203125" customWidth="1"/>
    <col min="20" max="22" width="3.6640625" customWidth="1"/>
    <col min="23" max="23" width="18.83203125" customWidth="1"/>
    <col min="24" max="24" width="3.6640625" customWidth="1"/>
  </cols>
  <sheetData>
    <row r="1" spans="1:24" ht="30">
      <c r="A1" s="1146" t="str">
        <f>"ÅRSKALENDER  for  "&amp;UPPER(Maaned!A1)&amp;"  "&amp;Maaned!A3&amp;" - "&amp;TEXT(Maaned!A3-1999,"00")</f>
        <v>ÅRSKALENDER  for  MIN EGEN SKOLE  2019 - 20</v>
      </c>
      <c r="B1" s="1147"/>
      <c r="C1" s="1147"/>
      <c r="D1" s="1147"/>
      <c r="E1" s="1147"/>
      <c r="F1" s="1147"/>
      <c r="G1" s="1147"/>
      <c r="H1" s="1147"/>
      <c r="I1" s="1147"/>
      <c r="J1" s="1147"/>
      <c r="K1" s="1147"/>
      <c r="L1" s="1147"/>
      <c r="M1" s="1147"/>
      <c r="N1" s="1147"/>
      <c r="O1" s="1147"/>
      <c r="P1" s="1147"/>
      <c r="Q1" s="1147"/>
      <c r="R1" s="1147"/>
      <c r="S1" s="1147"/>
      <c r="T1" s="1147"/>
      <c r="U1" s="1147"/>
      <c r="V1" s="1147"/>
      <c r="W1" s="1147"/>
      <c r="X1" s="1148"/>
    </row>
    <row r="2" spans="1:24" ht="18">
      <c r="A2" s="300" t="s">
        <v>156</v>
      </c>
      <c r="B2" s="299"/>
      <c r="C2" s="298"/>
      <c r="D2" s="532"/>
      <c r="E2" s="300" t="s">
        <v>157</v>
      </c>
      <c r="F2" s="299"/>
      <c r="G2" s="298"/>
      <c r="H2" s="297"/>
      <c r="I2" s="301" t="s">
        <v>158</v>
      </c>
      <c r="J2" s="299"/>
      <c r="K2" s="298"/>
      <c r="L2" s="297"/>
      <c r="M2" s="300" t="s">
        <v>159</v>
      </c>
      <c r="N2" s="299"/>
      <c r="O2" s="298"/>
      <c r="P2" s="297"/>
      <c r="Q2" s="300" t="s">
        <v>160</v>
      </c>
      <c r="R2" s="299"/>
      <c r="S2" s="298"/>
      <c r="T2" s="297"/>
      <c r="U2" s="300" t="s">
        <v>161</v>
      </c>
      <c r="V2" s="299"/>
      <c r="W2" s="298"/>
      <c r="X2" s="297"/>
    </row>
    <row r="3" spans="1:24">
      <c r="A3" s="537">
        <v>1</v>
      </c>
      <c r="B3" s="538" t="s">
        <v>349</v>
      </c>
      <c r="C3" s="538"/>
      <c r="D3" s="539" t="s">
        <v>302</v>
      </c>
      <c r="E3" s="551">
        <v>1</v>
      </c>
      <c r="F3" s="551" t="s">
        <v>352</v>
      </c>
      <c r="G3" s="551"/>
      <c r="H3" s="552" t="s">
        <v>302</v>
      </c>
      <c r="I3" s="537">
        <v>1</v>
      </c>
      <c r="J3" s="538" t="s">
        <v>350</v>
      </c>
      <c r="K3" s="538"/>
      <c r="L3" s="539" t="s">
        <v>302</v>
      </c>
      <c r="M3" s="538">
        <v>1</v>
      </c>
      <c r="N3" s="538" t="s">
        <v>351</v>
      </c>
      <c r="O3" s="538"/>
      <c r="P3" s="539" t="s">
        <v>302</v>
      </c>
      <c r="Q3" s="550">
        <v>1</v>
      </c>
      <c r="R3" s="551" t="s">
        <v>352</v>
      </c>
      <c r="S3" s="551"/>
      <c r="T3" s="552" t="s">
        <v>302</v>
      </c>
      <c r="U3" s="537">
        <v>1</v>
      </c>
      <c r="V3" s="538" t="s">
        <v>346</v>
      </c>
      <c r="W3" s="538"/>
      <c r="X3" s="539" t="s">
        <v>302</v>
      </c>
    </row>
    <row r="4" spans="1:24">
      <c r="A4" s="540">
        <v>2</v>
      </c>
      <c r="B4" s="324" t="s">
        <v>351</v>
      </c>
      <c r="C4" s="324"/>
      <c r="D4" s="541" t="s">
        <v>302</v>
      </c>
      <c r="E4" s="324">
        <v>2</v>
      </c>
      <c r="F4" s="324" t="s">
        <v>348</v>
      </c>
      <c r="G4" s="324"/>
      <c r="H4" s="541">
        <v>35.857142857142897</v>
      </c>
      <c r="I4" s="540">
        <v>2</v>
      </c>
      <c r="J4" s="324" t="s">
        <v>346</v>
      </c>
      <c r="K4" s="324"/>
      <c r="L4" s="541" t="s">
        <v>302</v>
      </c>
      <c r="M4" s="543">
        <v>2</v>
      </c>
      <c r="N4" s="543" t="s">
        <v>347</v>
      </c>
      <c r="O4" s="543"/>
      <c r="P4" s="544" t="s">
        <v>302</v>
      </c>
      <c r="Q4" s="540">
        <v>2</v>
      </c>
      <c r="R4" s="324" t="s">
        <v>348</v>
      </c>
      <c r="S4" s="324"/>
      <c r="T4" s="541">
        <v>48.857142857142854</v>
      </c>
      <c r="U4" s="540">
        <v>2</v>
      </c>
      <c r="V4" s="324" t="s">
        <v>349</v>
      </c>
      <c r="W4" s="324"/>
      <c r="X4" s="541" t="s">
        <v>302</v>
      </c>
    </row>
    <row r="5" spans="1:24">
      <c r="A5" s="542">
        <v>3</v>
      </c>
      <c r="B5" s="543" t="s">
        <v>347</v>
      </c>
      <c r="C5" s="543"/>
      <c r="D5" s="544" t="s">
        <v>302</v>
      </c>
      <c r="E5" s="324">
        <v>3</v>
      </c>
      <c r="F5" s="324" t="s">
        <v>350</v>
      </c>
      <c r="G5" s="324"/>
      <c r="H5" s="541" t="s">
        <v>302</v>
      </c>
      <c r="I5" s="540">
        <v>3</v>
      </c>
      <c r="J5" s="324" t="s">
        <v>349</v>
      </c>
      <c r="K5" s="324"/>
      <c r="L5" s="541" t="s">
        <v>302</v>
      </c>
      <c r="M5" s="543">
        <v>3</v>
      </c>
      <c r="N5" s="543" t="s">
        <v>352</v>
      </c>
      <c r="O5" s="543"/>
      <c r="P5" s="544" t="s">
        <v>302</v>
      </c>
      <c r="Q5" s="540">
        <v>3</v>
      </c>
      <c r="R5" s="324" t="s">
        <v>350</v>
      </c>
      <c r="S5" s="324"/>
      <c r="T5" s="541" t="s">
        <v>302</v>
      </c>
      <c r="U5" s="540">
        <v>3</v>
      </c>
      <c r="V5" s="324" t="s">
        <v>351</v>
      </c>
      <c r="W5" s="324"/>
      <c r="X5" s="541" t="s">
        <v>302</v>
      </c>
    </row>
    <row r="6" spans="1:24">
      <c r="A6" s="542">
        <v>4</v>
      </c>
      <c r="B6" s="543" t="s">
        <v>352</v>
      </c>
      <c r="C6" s="543"/>
      <c r="D6" s="544" t="s">
        <v>302</v>
      </c>
      <c r="E6" s="324">
        <v>4</v>
      </c>
      <c r="F6" s="324" t="s">
        <v>346</v>
      </c>
      <c r="G6" s="324"/>
      <c r="H6" s="541" t="s">
        <v>302</v>
      </c>
      <c r="I6" s="540">
        <v>4</v>
      </c>
      <c r="J6" s="324" t="s">
        <v>351</v>
      </c>
      <c r="K6" s="324"/>
      <c r="L6" s="541" t="s">
        <v>302</v>
      </c>
      <c r="M6" s="324">
        <v>4</v>
      </c>
      <c r="N6" s="324" t="s">
        <v>348</v>
      </c>
      <c r="O6" s="324"/>
      <c r="P6" s="541">
        <v>44.857142857142854</v>
      </c>
      <c r="Q6" s="540">
        <v>4</v>
      </c>
      <c r="R6" s="324" t="s">
        <v>346</v>
      </c>
      <c r="S6" s="324"/>
      <c r="T6" s="541" t="s">
        <v>302</v>
      </c>
      <c r="U6" s="542">
        <v>4</v>
      </c>
      <c r="V6" s="543" t="s">
        <v>347</v>
      </c>
      <c r="W6" s="543"/>
      <c r="X6" s="544" t="s">
        <v>302</v>
      </c>
    </row>
    <row r="7" spans="1:24">
      <c r="A7" s="540">
        <v>5</v>
      </c>
      <c r="B7" s="324" t="s">
        <v>348</v>
      </c>
      <c r="C7" s="324"/>
      <c r="D7" s="541">
        <v>32</v>
      </c>
      <c r="E7" s="324">
        <v>5</v>
      </c>
      <c r="F7" s="324" t="s">
        <v>349</v>
      </c>
      <c r="G7" s="324"/>
      <c r="H7" s="541" t="s">
        <v>302</v>
      </c>
      <c r="I7" s="542">
        <v>5</v>
      </c>
      <c r="J7" s="543" t="s">
        <v>347</v>
      </c>
      <c r="K7" s="543"/>
      <c r="L7" s="544" t="s">
        <v>302</v>
      </c>
      <c r="M7" s="324">
        <v>5</v>
      </c>
      <c r="N7" s="324" t="s">
        <v>350</v>
      </c>
      <c r="O7" s="324"/>
      <c r="P7" s="541" t="s">
        <v>302</v>
      </c>
      <c r="Q7" s="540">
        <v>5</v>
      </c>
      <c r="R7" s="324" t="s">
        <v>349</v>
      </c>
      <c r="S7" s="324"/>
      <c r="T7" s="541" t="s">
        <v>302</v>
      </c>
      <c r="U7" s="542">
        <v>5</v>
      </c>
      <c r="V7" s="543" t="s">
        <v>352</v>
      </c>
      <c r="W7" s="543"/>
      <c r="X7" s="544" t="s">
        <v>302</v>
      </c>
    </row>
    <row r="8" spans="1:24">
      <c r="A8" s="540">
        <v>6</v>
      </c>
      <c r="B8" s="324" t="s">
        <v>350</v>
      </c>
      <c r="C8" s="324"/>
      <c r="D8" s="541" t="s">
        <v>302</v>
      </c>
      <c r="E8" s="324">
        <v>6</v>
      </c>
      <c r="F8" s="324" t="s">
        <v>351</v>
      </c>
      <c r="G8" s="324"/>
      <c r="H8" s="541" t="s">
        <v>302</v>
      </c>
      <c r="I8" s="542">
        <v>6</v>
      </c>
      <c r="J8" s="543" t="s">
        <v>352</v>
      </c>
      <c r="K8" s="543"/>
      <c r="L8" s="544" t="s">
        <v>302</v>
      </c>
      <c r="M8" s="324">
        <v>6</v>
      </c>
      <c r="N8" s="324" t="s">
        <v>346</v>
      </c>
      <c r="O8" s="324"/>
      <c r="P8" s="541" t="s">
        <v>302</v>
      </c>
      <c r="Q8" s="540">
        <v>6</v>
      </c>
      <c r="R8" s="324" t="s">
        <v>351</v>
      </c>
      <c r="S8" s="324"/>
      <c r="T8" s="541" t="s">
        <v>302</v>
      </c>
      <c r="U8" s="540">
        <v>6</v>
      </c>
      <c r="V8" s="324" t="s">
        <v>348</v>
      </c>
      <c r="W8" s="324"/>
      <c r="X8" s="541">
        <v>1.7142857142857142</v>
      </c>
    </row>
    <row r="9" spans="1:24">
      <c r="A9" s="540">
        <v>7</v>
      </c>
      <c r="B9" s="324" t="s">
        <v>346</v>
      </c>
      <c r="C9" s="324"/>
      <c r="D9" s="541" t="s">
        <v>302</v>
      </c>
      <c r="E9" s="543">
        <v>7</v>
      </c>
      <c r="F9" s="543" t="s">
        <v>347</v>
      </c>
      <c r="G9" s="543"/>
      <c r="H9" s="544" t="s">
        <v>302</v>
      </c>
      <c r="I9" s="540">
        <v>7</v>
      </c>
      <c r="J9" s="324" t="s">
        <v>348</v>
      </c>
      <c r="K9" s="324"/>
      <c r="L9" s="541">
        <v>40.857142857142854</v>
      </c>
      <c r="M9" s="324">
        <v>7</v>
      </c>
      <c r="N9" s="324" t="s">
        <v>349</v>
      </c>
      <c r="O9" s="324"/>
      <c r="P9" s="541" t="s">
        <v>302</v>
      </c>
      <c r="Q9" s="542">
        <v>7</v>
      </c>
      <c r="R9" s="543" t="s">
        <v>347</v>
      </c>
      <c r="S9" s="543"/>
      <c r="T9" s="544" t="s">
        <v>302</v>
      </c>
      <c r="U9" s="540">
        <v>7</v>
      </c>
      <c r="V9" s="324" t="s">
        <v>350</v>
      </c>
      <c r="W9" s="324"/>
      <c r="X9" s="541" t="s">
        <v>302</v>
      </c>
    </row>
    <row r="10" spans="1:24">
      <c r="A10" s="540">
        <v>8</v>
      </c>
      <c r="B10" s="324" t="s">
        <v>349</v>
      </c>
      <c r="C10" s="324"/>
      <c r="D10" s="541" t="s">
        <v>302</v>
      </c>
      <c r="E10" s="543">
        <v>8</v>
      </c>
      <c r="F10" s="543" t="s">
        <v>352</v>
      </c>
      <c r="G10" s="543"/>
      <c r="H10" s="544" t="s">
        <v>302</v>
      </c>
      <c r="I10" s="540">
        <v>8</v>
      </c>
      <c r="J10" s="324" t="s">
        <v>350</v>
      </c>
      <c r="K10" s="324"/>
      <c r="L10" s="541" t="s">
        <v>302</v>
      </c>
      <c r="M10" s="324">
        <v>8</v>
      </c>
      <c r="N10" s="324" t="s">
        <v>351</v>
      </c>
      <c r="O10" s="324"/>
      <c r="P10" s="541" t="s">
        <v>302</v>
      </c>
      <c r="Q10" s="542">
        <v>8</v>
      </c>
      <c r="R10" s="543" t="s">
        <v>352</v>
      </c>
      <c r="S10" s="543"/>
      <c r="T10" s="544" t="s">
        <v>302</v>
      </c>
      <c r="U10" s="540">
        <v>8</v>
      </c>
      <c r="V10" s="324" t="s">
        <v>346</v>
      </c>
      <c r="W10" s="324"/>
      <c r="X10" s="541" t="s">
        <v>302</v>
      </c>
    </row>
    <row r="11" spans="1:24">
      <c r="A11" s="540">
        <v>9</v>
      </c>
      <c r="B11" s="324" t="s">
        <v>351</v>
      </c>
      <c r="C11" s="324"/>
      <c r="D11" s="541" t="s">
        <v>302</v>
      </c>
      <c r="E11" s="324">
        <v>9</v>
      </c>
      <c r="F11" s="324" t="s">
        <v>348</v>
      </c>
      <c r="G11" s="324"/>
      <c r="H11" s="541">
        <v>36.857142857142854</v>
      </c>
      <c r="I11" s="540">
        <v>9</v>
      </c>
      <c r="J11" s="324" t="s">
        <v>346</v>
      </c>
      <c r="K11" s="324"/>
      <c r="L11" s="541" t="s">
        <v>302</v>
      </c>
      <c r="M11" s="543">
        <v>9</v>
      </c>
      <c r="N11" s="543" t="s">
        <v>347</v>
      </c>
      <c r="O11" s="543"/>
      <c r="P11" s="544" t="s">
        <v>302</v>
      </c>
      <c r="Q11" s="540">
        <v>9</v>
      </c>
      <c r="R11" s="324" t="s">
        <v>348</v>
      </c>
      <c r="S11" s="324"/>
      <c r="T11" s="541">
        <v>49.857142857142854</v>
      </c>
      <c r="U11" s="540">
        <v>9</v>
      </c>
      <c r="V11" s="324" t="s">
        <v>349</v>
      </c>
      <c r="W11" s="324"/>
      <c r="X11" s="541" t="s">
        <v>302</v>
      </c>
    </row>
    <row r="12" spans="1:24">
      <c r="A12" s="542">
        <v>10</v>
      </c>
      <c r="B12" s="543" t="s">
        <v>347</v>
      </c>
      <c r="C12" s="543"/>
      <c r="D12" s="544" t="s">
        <v>302</v>
      </c>
      <c r="E12" s="324">
        <v>10</v>
      </c>
      <c r="F12" s="324" t="s">
        <v>350</v>
      </c>
      <c r="G12" s="324"/>
      <c r="H12" s="541" t="s">
        <v>302</v>
      </c>
      <c r="I12" s="540">
        <v>10</v>
      </c>
      <c r="J12" s="324" t="s">
        <v>349</v>
      </c>
      <c r="K12" s="324"/>
      <c r="L12" s="541" t="s">
        <v>302</v>
      </c>
      <c r="M12" s="543">
        <v>10</v>
      </c>
      <c r="N12" s="543" t="s">
        <v>352</v>
      </c>
      <c r="O12" s="543"/>
      <c r="P12" s="544" t="s">
        <v>302</v>
      </c>
      <c r="Q12" s="540">
        <v>10</v>
      </c>
      <c r="R12" s="324" t="s">
        <v>350</v>
      </c>
      <c r="S12" s="324"/>
      <c r="T12" s="541" t="s">
        <v>302</v>
      </c>
      <c r="U12" s="540">
        <v>10</v>
      </c>
      <c r="V12" s="324" t="s">
        <v>351</v>
      </c>
      <c r="W12" s="324"/>
      <c r="X12" s="541" t="s">
        <v>302</v>
      </c>
    </row>
    <row r="13" spans="1:24">
      <c r="A13" s="542">
        <v>11</v>
      </c>
      <c r="B13" s="543" t="s">
        <v>352</v>
      </c>
      <c r="C13" s="543"/>
      <c r="D13" s="544" t="s">
        <v>302</v>
      </c>
      <c r="E13" s="324">
        <v>11</v>
      </c>
      <c r="F13" s="324" t="s">
        <v>346</v>
      </c>
      <c r="G13" s="324"/>
      <c r="H13" s="541" t="s">
        <v>302</v>
      </c>
      <c r="I13" s="540">
        <v>11</v>
      </c>
      <c r="J13" s="324" t="s">
        <v>351</v>
      </c>
      <c r="K13" s="324"/>
      <c r="L13" s="541" t="s">
        <v>302</v>
      </c>
      <c r="M13" s="324">
        <v>11</v>
      </c>
      <c r="N13" s="324" t="s">
        <v>348</v>
      </c>
      <c r="O13" s="324"/>
      <c r="P13" s="541">
        <v>45.857142857142854</v>
      </c>
      <c r="Q13" s="540">
        <v>11</v>
      </c>
      <c r="R13" s="324" t="s">
        <v>346</v>
      </c>
      <c r="S13" s="324"/>
      <c r="T13" s="541" t="s">
        <v>302</v>
      </c>
      <c r="U13" s="542">
        <v>11</v>
      </c>
      <c r="V13" s="543" t="s">
        <v>347</v>
      </c>
      <c r="W13" s="543"/>
      <c r="X13" s="544" t="s">
        <v>302</v>
      </c>
    </row>
    <row r="14" spans="1:24">
      <c r="A14" s="540">
        <v>12</v>
      </c>
      <c r="B14" s="324" t="s">
        <v>348</v>
      </c>
      <c r="C14" s="324"/>
      <c r="D14" s="541">
        <v>33</v>
      </c>
      <c r="E14" s="324">
        <v>12</v>
      </c>
      <c r="F14" s="324" t="s">
        <v>349</v>
      </c>
      <c r="G14" s="324"/>
      <c r="H14" s="541" t="s">
        <v>302</v>
      </c>
      <c r="I14" s="542">
        <v>12</v>
      </c>
      <c r="J14" s="543" t="s">
        <v>347</v>
      </c>
      <c r="K14" s="543"/>
      <c r="L14" s="544" t="s">
        <v>302</v>
      </c>
      <c r="M14" s="324">
        <v>12</v>
      </c>
      <c r="N14" s="324" t="s">
        <v>350</v>
      </c>
      <c r="O14" s="324"/>
      <c r="P14" s="541" t="s">
        <v>302</v>
      </c>
      <c r="Q14" s="540">
        <v>12</v>
      </c>
      <c r="R14" s="324" t="s">
        <v>349</v>
      </c>
      <c r="S14" s="324"/>
      <c r="T14" s="541" t="s">
        <v>302</v>
      </c>
      <c r="U14" s="542">
        <v>12</v>
      </c>
      <c r="V14" s="543" t="s">
        <v>352</v>
      </c>
      <c r="W14" s="543"/>
      <c r="X14" s="544" t="s">
        <v>302</v>
      </c>
    </row>
    <row r="15" spans="1:24">
      <c r="A15" s="540">
        <v>13</v>
      </c>
      <c r="B15" s="324" t="s">
        <v>350</v>
      </c>
      <c r="C15" s="324"/>
      <c r="D15" s="541" t="s">
        <v>302</v>
      </c>
      <c r="E15" s="324">
        <v>13</v>
      </c>
      <c r="F15" s="324" t="s">
        <v>351</v>
      </c>
      <c r="G15" s="324"/>
      <c r="H15" s="541" t="s">
        <v>302</v>
      </c>
      <c r="I15" s="542">
        <v>13</v>
      </c>
      <c r="J15" s="543" t="s">
        <v>352</v>
      </c>
      <c r="K15" s="543"/>
      <c r="L15" s="544" t="s">
        <v>302</v>
      </c>
      <c r="M15" s="324">
        <v>13</v>
      </c>
      <c r="N15" s="324" t="s">
        <v>346</v>
      </c>
      <c r="O15" s="324"/>
      <c r="P15" s="541" t="s">
        <v>302</v>
      </c>
      <c r="Q15" s="540">
        <v>13</v>
      </c>
      <c r="R15" s="324" t="s">
        <v>351</v>
      </c>
      <c r="S15" s="324"/>
      <c r="T15" s="541" t="s">
        <v>302</v>
      </c>
      <c r="U15" s="540">
        <v>13</v>
      </c>
      <c r="V15" s="324" t="s">
        <v>348</v>
      </c>
      <c r="W15" s="324"/>
      <c r="X15" s="541">
        <v>2.7142857142857144</v>
      </c>
    </row>
    <row r="16" spans="1:24">
      <c r="A16" s="540">
        <v>14</v>
      </c>
      <c r="B16" s="324" t="s">
        <v>346</v>
      </c>
      <c r="C16" s="324"/>
      <c r="D16" s="541" t="s">
        <v>302</v>
      </c>
      <c r="E16" s="543">
        <v>14</v>
      </c>
      <c r="F16" s="543" t="s">
        <v>347</v>
      </c>
      <c r="G16" s="543"/>
      <c r="H16" s="544" t="s">
        <v>302</v>
      </c>
      <c r="I16" s="540">
        <v>14</v>
      </c>
      <c r="J16" s="324" t="s">
        <v>348</v>
      </c>
      <c r="K16" s="324"/>
      <c r="L16" s="541">
        <v>41.857142857142854</v>
      </c>
      <c r="M16" s="324">
        <v>14</v>
      </c>
      <c r="N16" s="324" t="s">
        <v>349</v>
      </c>
      <c r="O16" s="324"/>
      <c r="P16" s="541" t="s">
        <v>302</v>
      </c>
      <c r="Q16" s="542">
        <v>14</v>
      </c>
      <c r="R16" s="543" t="s">
        <v>347</v>
      </c>
      <c r="S16" s="543"/>
      <c r="T16" s="544" t="s">
        <v>302</v>
      </c>
      <c r="U16" s="540">
        <v>14</v>
      </c>
      <c r="V16" s="324" t="s">
        <v>350</v>
      </c>
      <c r="W16" s="324"/>
      <c r="X16" s="541" t="s">
        <v>302</v>
      </c>
    </row>
    <row r="17" spans="1:24">
      <c r="A17" s="540">
        <v>15</v>
      </c>
      <c r="B17" s="324" t="s">
        <v>349</v>
      </c>
      <c r="C17" s="324"/>
      <c r="D17" s="541" t="s">
        <v>302</v>
      </c>
      <c r="E17" s="543">
        <v>15</v>
      </c>
      <c r="F17" s="543" t="s">
        <v>352</v>
      </c>
      <c r="G17" s="543"/>
      <c r="H17" s="544" t="s">
        <v>302</v>
      </c>
      <c r="I17" s="540">
        <v>15</v>
      </c>
      <c r="J17" s="324" t="s">
        <v>350</v>
      </c>
      <c r="K17" s="324"/>
      <c r="L17" s="541" t="s">
        <v>302</v>
      </c>
      <c r="M17" s="324">
        <v>15</v>
      </c>
      <c r="N17" s="324" t="s">
        <v>351</v>
      </c>
      <c r="O17" s="324"/>
      <c r="P17" s="541" t="s">
        <v>302</v>
      </c>
      <c r="Q17" s="542">
        <v>15</v>
      </c>
      <c r="R17" s="543" t="s">
        <v>352</v>
      </c>
      <c r="S17" s="543"/>
      <c r="T17" s="544" t="s">
        <v>302</v>
      </c>
      <c r="U17" s="540">
        <v>15</v>
      </c>
      <c r="V17" s="324" t="s">
        <v>346</v>
      </c>
      <c r="W17" s="324"/>
      <c r="X17" s="541" t="s">
        <v>302</v>
      </c>
    </row>
    <row r="18" spans="1:24">
      <c r="A18" s="540">
        <v>16</v>
      </c>
      <c r="B18" s="324" t="s">
        <v>351</v>
      </c>
      <c r="C18" s="324"/>
      <c r="D18" s="541" t="s">
        <v>302</v>
      </c>
      <c r="E18" s="324">
        <v>16</v>
      </c>
      <c r="F18" s="324" t="s">
        <v>348</v>
      </c>
      <c r="G18" s="324"/>
      <c r="H18" s="541">
        <v>37.857142857142854</v>
      </c>
      <c r="I18" s="540">
        <v>16</v>
      </c>
      <c r="J18" s="324" t="s">
        <v>346</v>
      </c>
      <c r="K18" s="324"/>
      <c r="L18" s="541" t="s">
        <v>302</v>
      </c>
      <c r="M18" s="543">
        <v>16</v>
      </c>
      <c r="N18" s="543" t="s">
        <v>347</v>
      </c>
      <c r="O18" s="543"/>
      <c r="P18" s="544" t="s">
        <v>302</v>
      </c>
      <c r="Q18" s="540">
        <v>16</v>
      </c>
      <c r="R18" s="324" t="s">
        <v>348</v>
      </c>
      <c r="S18" s="324"/>
      <c r="T18" s="541">
        <v>50.857142857142854</v>
      </c>
      <c r="U18" s="540">
        <v>16</v>
      </c>
      <c r="V18" s="324" t="s">
        <v>349</v>
      </c>
      <c r="W18" s="324"/>
      <c r="X18" s="541" t="s">
        <v>302</v>
      </c>
    </row>
    <row r="19" spans="1:24">
      <c r="A19" s="542">
        <v>17</v>
      </c>
      <c r="B19" s="543" t="s">
        <v>347</v>
      </c>
      <c r="C19" s="543"/>
      <c r="D19" s="544" t="s">
        <v>302</v>
      </c>
      <c r="E19" s="324">
        <v>17</v>
      </c>
      <c r="F19" s="324" t="s">
        <v>350</v>
      </c>
      <c r="G19" s="324"/>
      <c r="H19" s="541" t="s">
        <v>302</v>
      </c>
      <c r="I19" s="540">
        <v>17</v>
      </c>
      <c r="J19" s="324" t="s">
        <v>349</v>
      </c>
      <c r="K19" s="324"/>
      <c r="L19" s="541" t="s">
        <v>302</v>
      </c>
      <c r="M19" s="543">
        <v>17</v>
      </c>
      <c r="N19" s="543" t="s">
        <v>352</v>
      </c>
      <c r="O19" s="543"/>
      <c r="P19" s="544" t="s">
        <v>302</v>
      </c>
      <c r="Q19" s="540">
        <v>17</v>
      </c>
      <c r="R19" s="324" t="s">
        <v>350</v>
      </c>
      <c r="S19" s="324"/>
      <c r="T19" s="541" t="s">
        <v>302</v>
      </c>
      <c r="U19" s="540">
        <v>17</v>
      </c>
      <c r="V19" s="324" t="s">
        <v>351</v>
      </c>
      <c r="W19" s="324"/>
      <c r="X19" s="541" t="s">
        <v>302</v>
      </c>
    </row>
    <row r="20" spans="1:24">
      <c r="A20" s="542">
        <v>18</v>
      </c>
      <c r="B20" s="543" t="s">
        <v>352</v>
      </c>
      <c r="C20" s="543"/>
      <c r="D20" s="544" t="s">
        <v>302</v>
      </c>
      <c r="E20" s="324">
        <v>18</v>
      </c>
      <c r="F20" s="324" t="s">
        <v>346</v>
      </c>
      <c r="G20" s="324"/>
      <c r="H20" s="541" t="s">
        <v>302</v>
      </c>
      <c r="I20" s="540">
        <v>18</v>
      </c>
      <c r="J20" s="324" t="s">
        <v>351</v>
      </c>
      <c r="K20" s="324"/>
      <c r="L20" s="541" t="s">
        <v>302</v>
      </c>
      <c r="M20" s="324">
        <v>18</v>
      </c>
      <c r="N20" s="324" t="s">
        <v>348</v>
      </c>
      <c r="O20" s="324"/>
      <c r="P20" s="541">
        <v>46.857142857142854</v>
      </c>
      <c r="Q20" s="540">
        <v>18</v>
      </c>
      <c r="R20" s="324" t="s">
        <v>346</v>
      </c>
      <c r="S20" s="324"/>
      <c r="T20" s="541" t="s">
        <v>302</v>
      </c>
      <c r="U20" s="542">
        <v>18</v>
      </c>
      <c r="V20" s="543" t="s">
        <v>347</v>
      </c>
      <c r="W20" s="543"/>
      <c r="X20" s="544" t="s">
        <v>302</v>
      </c>
    </row>
    <row r="21" spans="1:24">
      <c r="A21" s="540">
        <v>19</v>
      </c>
      <c r="B21" s="324" t="s">
        <v>348</v>
      </c>
      <c r="C21" s="324"/>
      <c r="D21" s="541">
        <v>34</v>
      </c>
      <c r="E21" s="324">
        <v>19</v>
      </c>
      <c r="F21" s="324" t="s">
        <v>349</v>
      </c>
      <c r="G21" s="324"/>
      <c r="H21" s="541" t="s">
        <v>302</v>
      </c>
      <c r="I21" s="542">
        <v>19</v>
      </c>
      <c r="J21" s="543" t="s">
        <v>347</v>
      </c>
      <c r="K21" s="543"/>
      <c r="L21" s="544" t="s">
        <v>302</v>
      </c>
      <c r="M21" s="324">
        <v>19</v>
      </c>
      <c r="N21" s="324" t="s">
        <v>350</v>
      </c>
      <c r="O21" s="324"/>
      <c r="P21" s="541" t="s">
        <v>302</v>
      </c>
      <c r="Q21" s="540">
        <v>19</v>
      </c>
      <c r="R21" s="324" t="s">
        <v>349</v>
      </c>
      <c r="S21" s="324"/>
      <c r="T21" s="541" t="s">
        <v>302</v>
      </c>
      <c r="U21" s="542">
        <v>19</v>
      </c>
      <c r="V21" s="543" t="s">
        <v>352</v>
      </c>
      <c r="W21" s="543"/>
      <c r="X21" s="544" t="s">
        <v>302</v>
      </c>
    </row>
    <row r="22" spans="1:24">
      <c r="A22" s="540">
        <v>20</v>
      </c>
      <c r="B22" s="324" t="s">
        <v>350</v>
      </c>
      <c r="C22" s="324"/>
      <c r="D22" s="541" t="s">
        <v>302</v>
      </c>
      <c r="E22" s="324">
        <v>20</v>
      </c>
      <c r="F22" s="324" t="s">
        <v>351</v>
      </c>
      <c r="G22" s="324"/>
      <c r="H22" s="541" t="s">
        <v>302</v>
      </c>
      <c r="I22" s="542">
        <v>20</v>
      </c>
      <c r="J22" s="543" t="s">
        <v>352</v>
      </c>
      <c r="K22" s="543"/>
      <c r="L22" s="544" t="s">
        <v>302</v>
      </c>
      <c r="M22" s="324">
        <v>20</v>
      </c>
      <c r="N22" s="324" t="s">
        <v>346</v>
      </c>
      <c r="O22" s="324"/>
      <c r="P22" s="541" t="s">
        <v>302</v>
      </c>
      <c r="Q22" s="540">
        <v>20</v>
      </c>
      <c r="R22" s="324" t="s">
        <v>351</v>
      </c>
      <c r="S22" s="324"/>
      <c r="T22" s="541" t="s">
        <v>302</v>
      </c>
      <c r="U22" s="540">
        <v>20</v>
      </c>
      <c r="V22" s="324" t="s">
        <v>348</v>
      </c>
      <c r="W22" s="324"/>
      <c r="X22" s="541">
        <v>3.7142857142857144</v>
      </c>
    </row>
    <row r="23" spans="1:24">
      <c r="A23" s="540">
        <v>21</v>
      </c>
      <c r="B23" s="324" t="s">
        <v>346</v>
      </c>
      <c r="C23" s="324"/>
      <c r="D23" s="541" t="s">
        <v>302</v>
      </c>
      <c r="E23" s="543">
        <v>21</v>
      </c>
      <c r="F23" s="543" t="s">
        <v>347</v>
      </c>
      <c r="G23" s="543"/>
      <c r="H23" s="544" t="s">
        <v>302</v>
      </c>
      <c r="I23" s="540">
        <v>21</v>
      </c>
      <c r="J23" s="324" t="s">
        <v>348</v>
      </c>
      <c r="K23" s="324"/>
      <c r="L23" s="541">
        <v>42.857142857142854</v>
      </c>
      <c r="M23" s="324">
        <v>21</v>
      </c>
      <c r="N23" s="324" t="s">
        <v>349</v>
      </c>
      <c r="O23" s="324"/>
      <c r="P23" s="541" t="s">
        <v>302</v>
      </c>
      <c r="Q23" s="542">
        <v>21</v>
      </c>
      <c r="R23" s="543" t="s">
        <v>347</v>
      </c>
      <c r="S23" s="543"/>
      <c r="T23" s="544" t="s">
        <v>302</v>
      </c>
      <c r="U23" s="540">
        <v>21</v>
      </c>
      <c r="V23" s="324" t="s">
        <v>350</v>
      </c>
      <c r="W23" s="324"/>
      <c r="X23" s="541" t="s">
        <v>302</v>
      </c>
    </row>
    <row r="24" spans="1:24">
      <c r="A24" s="540">
        <v>22</v>
      </c>
      <c r="B24" s="324" t="s">
        <v>349</v>
      </c>
      <c r="C24" s="324"/>
      <c r="D24" s="541" t="s">
        <v>302</v>
      </c>
      <c r="E24" s="543">
        <v>22</v>
      </c>
      <c r="F24" s="543" t="s">
        <v>352</v>
      </c>
      <c r="G24" s="543"/>
      <c r="H24" s="544" t="s">
        <v>302</v>
      </c>
      <c r="I24" s="540">
        <v>22</v>
      </c>
      <c r="J24" s="324" t="s">
        <v>350</v>
      </c>
      <c r="K24" s="324"/>
      <c r="L24" s="541" t="s">
        <v>302</v>
      </c>
      <c r="M24" s="324">
        <v>22</v>
      </c>
      <c r="N24" s="324" t="s">
        <v>351</v>
      </c>
      <c r="O24" s="324"/>
      <c r="P24" s="541" t="s">
        <v>302</v>
      </c>
      <c r="Q24" s="542">
        <v>22</v>
      </c>
      <c r="R24" s="543" t="s">
        <v>352</v>
      </c>
      <c r="S24" s="543"/>
      <c r="T24" s="544" t="s">
        <v>302</v>
      </c>
      <c r="U24" s="540">
        <v>22</v>
      </c>
      <c r="V24" s="324" t="s">
        <v>346</v>
      </c>
      <c r="W24" s="324"/>
      <c r="X24" s="541" t="s">
        <v>302</v>
      </c>
    </row>
    <row r="25" spans="1:24">
      <c r="A25" s="540">
        <v>23</v>
      </c>
      <c r="B25" s="324" t="s">
        <v>351</v>
      </c>
      <c r="C25" s="324"/>
      <c r="D25" s="541" t="s">
        <v>302</v>
      </c>
      <c r="E25" s="324">
        <v>23</v>
      </c>
      <c r="F25" s="324" t="s">
        <v>348</v>
      </c>
      <c r="G25" s="324"/>
      <c r="H25" s="541">
        <v>38.857142857142854</v>
      </c>
      <c r="I25" s="540">
        <v>23</v>
      </c>
      <c r="J25" s="324" t="s">
        <v>346</v>
      </c>
      <c r="K25" s="324"/>
      <c r="L25" s="541" t="s">
        <v>302</v>
      </c>
      <c r="M25" s="543">
        <v>23</v>
      </c>
      <c r="N25" s="543" t="s">
        <v>347</v>
      </c>
      <c r="O25" s="543"/>
      <c r="P25" s="544" t="s">
        <v>302</v>
      </c>
      <c r="Q25" s="540">
        <v>23</v>
      </c>
      <c r="R25" s="324" t="s">
        <v>348</v>
      </c>
      <c r="S25" s="324"/>
      <c r="T25" s="541">
        <v>51.857142857142854</v>
      </c>
      <c r="U25" s="540">
        <v>23</v>
      </c>
      <c r="V25" s="324" t="s">
        <v>349</v>
      </c>
      <c r="W25" s="324"/>
      <c r="X25" s="541" t="s">
        <v>302</v>
      </c>
    </row>
    <row r="26" spans="1:24">
      <c r="A26" s="542">
        <v>24</v>
      </c>
      <c r="B26" s="543" t="s">
        <v>347</v>
      </c>
      <c r="C26" s="543"/>
      <c r="D26" s="544" t="s">
        <v>302</v>
      </c>
      <c r="E26" s="324">
        <v>24</v>
      </c>
      <c r="F26" s="324" t="s">
        <v>350</v>
      </c>
      <c r="G26" s="324"/>
      <c r="H26" s="541" t="s">
        <v>302</v>
      </c>
      <c r="I26" s="540">
        <v>24</v>
      </c>
      <c r="J26" s="324" t="s">
        <v>349</v>
      </c>
      <c r="K26" s="324"/>
      <c r="L26" s="541" t="s">
        <v>302</v>
      </c>
      <c r="M26" s="543">
        <v>24</v>
      </c>
      <c r="N26" s="543" t="s">
        <v>352</v>
      </c>
      <c r="O26" s="543"/>
      <c r="P26" s="544" t="s">
        <v>302</v>
      </c>
      <c r="Q26" s="540">
        <v>24</v>
      </c>
      <c r="R26" s="324" t="s">
        <v>350</v>
      </c>
      <c r="S26" s="324"/>
      <c r="T26" s="541" t="s">
        <v>302</v>
      </c>
      <c r="U26" s="540">
        <v>24</v>
      </c>
      <c r="V26" s="324" t="s">
        <v>351</v>
      </c>
      <c r="W26" s="324"/>
      <c r="X26" s="541" t="s">
        <v>302</v>
      </c>
    </row>
    <row r="27" spans="1:24">
      <c r="A27" s="542">
        <v>25</v>
      </c>
      <c r="B27" s="543" t="s">
        <v>352</v>
      </c>
      <c r="C27" s="543"/>
      <c r="D27" s="544" t="s">
        <v>302</v>
      </c>
      <c r="E27" s="324">
        <v>25</v>
      </c>
      <c r="F27" s="324" t="s">
        <v>346</v>
      </c>
      <c r="G27" s="324"/>
      <c r="H27" s="541" t="s">
        <v>302</v>
      </c>
      <c r="I27" s="540">
        <v>25</v>
      </c>
      <c r="J27" s="324" t="s">
        <v>351</v>
      </c>
      <c r="K27" s="324"/>
      <c r="L27" s="541" t="s">
        <v>302</v>
      </c>
      <c r="M27" s="324">
        <v>25</v>
      </c>
      <c r="N27" s="324" t="s">
        <v>348</v>
      </c>
      <c r="O27" s="324"/>
      <c r="P27" s="541">
        <v>47.857142857142854</v>
      </c>
      <c r="Q27" s="540">
        <v>25</v>
      </c>
      <c r="R27" s="324" t="s">
        <v>346</v>
      </c>
      <c r="S27" s="324"/>
      <c r="T27" s="541" t="s">
        <v>302</v>
      </c>
      <c r="U27" s="542">
        <v>25</v>
      </c>
      <c r="V27" s="543" t="s">
        <v>347</v>
      </c>
      <c r="W27" s="543"/>
      <c r="X27" s="544" t="s">
        <v>302</v>
      </c>
    </row>
    <row r="28" spans="1:24">
      <c r="A28" s="540">
        <v>26</v>
      </c>
      <c r="B28" s="324" t="s">
        <v>348</v>
      </c>
      <c r="C28" s="324"/>
      <c r="D28" s="541">
        <v>35</v>
      </c>
      <c r="E28" s="324">
        <v>26</v>
      </c>
      <c r="F28" s="324" t="s">
        <v>349</v>
      </c>
      <c r="G28" s="324"/>
      <c r="H28" s="541" t="s">
        <v>302</v>
      </c>
      <c r="I28" s="542">
        <v>26</v>
      </c>
      <c r="J28" s="543" t="s">
        <v>347</v>
      </c>
      <c r="K28" s="543"/>
      <c r="L28" s="544" t="s">
        <v>302</v>
      </c>
      <c r="M28" s="324">
        <v>26</v>
      </c>
      <c r="N28" s="324" t="s">
        <v>350</v>
      </c>
      <c r="O28" s="324"/>
      <c r="P28" s="541" t="s">
        <v>302</v>
      </c>
      <c r="Q28" s="540">
        <v>26</v>
      </c>
      <c r="R28" s="324" t="s">
        <v>349</v>
      </c>
      <c r="S28" s="324"/>
      <c r="T28" s="541" t="s">
        <v>302</v>
      </c>
      <c r="U28" s="542">
        <v>26</v>
      </c>
      <c r="V28" s="543" t="s">
        <v>352</v>
      </c>
      <c r="W28" s="543"/>
      <c r="X28" s="544" t="s">
        <v>302</v>
      </c>
    </row>
    <row r="29" spans="1:24">
      <c r="A29" s="540">
        <v>27</v>
      </c>
      <c r="B29" s="324" t="s">
        <v>350</v>
      </c>
      <c r="C29" s="324"/>
      <c r="D29" s="541" t="s">
        <v>302</v>
      </c>
      <c r="E29" s="324">
        <v>27</v>
      </c>
      <c r="F29" s="324" t="s">
        <v>351</v>
      </c>
      <c r="G29" s="324"/>
      <c r="H29" s="541" t="s">
        <v>302</v>
      </c>
      <c r="I29" s="542">
        <v>27</v>
      </c>
      <c r="J29" s="543" t="s">
        <v>352</v>
      </c>
      <c r="K29" s="543"/>
      <c r="L29" s="544" t="s">
        <v>302</v>
      </c>
      <c r="M29" s="324">
        <v>27</v>
      </c>
      <c r="N29" s="324" t="s">
        <v>346</v>
      </c>
      <c r="O29" s="324"/>
      <c r="P29" s="541" t="s">
        <v>302</v>
      </c>
      <c r="Q29" s="540">
        <v>27</v>
      </c>
      <c r="R29" s="324" t="s">
        <v>351</v>
      </c>
      <c r="S29" s="324"/>
      <c r="T29" s="541" t="s">
        <v>302</v>
      </c>
      <c r="U29" s="540">
        <v>27</v>
      </c>
      <c r="V29" s="324" t="s">
        <v>348</v>
      </c>
      <c r="W29" s="324"/>
      <c r="X29" s="541">
        <v>4.7142857142857144</v>
      </c>
    </row>
    <row r="30" spans="1:24">
      <c r="A30" s="540">
        <v>28</v>
      </c>
      <c r="B30" s="324" t="s">
        <v>346</v>
      </c>
      <c r="C30" s="324"/>
      <c r="D30" s="541" t="s">
        <v>302</v>
      </c>
      <c r="E30" s="543">
        <v>28</v>
      </c>
      <c r="F30" s="543" t="s">
        <v>347</v>
      </c>
      <c r="G30" s="543"/>
      <c r="H30" s="544" t="s">
        <v>302</v>
      </c>
      <c r="I30" s="540">
        <v>28</v>
      </c>
      <c r="J30" s="324" t="s">
        <v>348</v>
      </c>
      <c r="K30" s="324"/>
      <c r="L30" s="541">
        <v>43.857142857142854</v>
      </c>
      <c r="M30" s="324">
        <v>28</v>
      </c>
      <c r="N30" s="324" t="s">
        <v>349</v>
      </c>
      <c r="O30" s="324"/>
      <c r="P30" s="541" t="s">
        <v>302</v>
      </c>
      <c r="Q30" s="542">
        <v>28</v>
      </c>
      <c r="R30" s="543" t="s">
        <v>347</v>
      </c>
      <c r="S30" s="543"/>
      <c r="T30" s="544" t="s">
        <v>302</v>
      </c>
      <c r="U30" s="540">
        <v>28</v>
      </c>
      <c r="V30" s="324" t="s">
        <v>350</v>
      </c>
      <c r="W30" s="324"/>
      <c r="X30" s="541" t="s">
        <v>302</v>
      </c>
    </row>
    <row r="31" spans="1:24">
      <c r="A31" s="540">
        <v>29</v>
      </c>
      <c r="B31" s="324" t="s">
        <v>349</v>
      </c>
      <c r="C31" s="324"/>
      <c r="D31" s="541" t="s">
        <v>302</v>
      </c>
      <c r="E31" s="543">
        <v>29</v>
      </c>
      <c r="F31" s="543" t="s">
        <v>352</v>
      </c>
      <c r="G31" s="543"/>
      <c r="H31" s="544" t="s">
        <v>302</v>
      </c>
      <c r="I31" s="540">
        <v>29</v>
      </c>
      <c r="J31" s="324" t="s">
        <v>350</v>
      </c>
      <c r="K31" s="324"/>
      <c r="L31" s="541" t="s">
        <v>302</v>
      </c>
      <c r="M31" s="324">
        <v>29</v>
      </c>
      <c r="N31" s="324" t="s">
        <v>351</v>
      </c>
      <c r="O31" s="324"/>
      <c r="P31" s="541" t="s">
        <v>302</v>
      </c>
      <c r="Q31" s="542">
        <v>29</v>
      </c>
      <c r="R31" s="543" t="s">
        <v>352</v>
      </c>
      <c r="S31" s="543"/>
      <c r="T31" s="544" t="s">
        <v>302</v>
      </c>
      <c r="U31" s="540">
        <v>29</v>
      </c>
      <c r="V31" s="324" t="s">
        <v>346</v>
      </c>
      <c r="W31" s="324"/>
      <c r="X31" s="541" t="s">
        <v>302</v>
      </c>
    </row>
    <row r="32" spans="1:24">
      <c r="A32" s="540">
        <v>30</v>
      </c>
      <c r="B32" s="324" t="s">
        <v>351</v>
      </c>
      <c r="C32" s="324"/>
      <c r="D32" s="541" t="s">
        <v>302</v>
      </c>
      <c r="E32" s="313">
        <v>30</v>
      </c>
      <c r="F32" s="313" t="s">
        <v>348</v>
      </c>
      <c r="G32" s="313"/>
      <c r="H32" s="546">
        <v>39.857142857142854</v>
      </c>
      <c r="I32" s="540">
        <v>30</v>
      </c>
      <c r="J32" s="324" t="s">
        <v>346</v>
      </c>
      <c r="K32" s="324"/>
      <c r="L32" s="541" t="s">
        <v>302</v>
      </c>
      <c r="M32" s="548">
        <v>30</v>
      </c>
      <c r="N32" s="548" t="s">
        <v>347</v>
      </c>
      <c r="O32" s="548"/>
      <c r="P32" s="549" t="s">
        <v>302</v>
      </c>
      <c r="Q32" s="540">
        <v>30</v>
      </c>
      <c r="R32" s="324" t="s">
        <v>348</v>
      </c>
      <c r="S32" s="324"/>
      <c r="T32" s="541">
        <v>1</v>
      </c>
      <c r="U32" s="540">
        <v>30</v>
      </c>
      <c r="V32" s="324" t="s">
        <v>349</v>
      </c>
      <c r="W32" s="324"/>
      <c r="X32" s="541" t="s">
        <v>302</v>
      </c>
    </row>
    <row r="33" spans="1:24">
      <c r="A33" s="547">
        <v>31</v>
      </c>
      <c r="B33" s="548" t="s">
        <v>347</v>
      </c>
      <c r="C33" s="548"/>
      <c r="D33" s="549" t="s">
        <v>302</v>
      </c>
      <c r="I33" s="545">
        <v>31</v>
      </c>
      <c r="J33" s="313" t="s">
        <v>349</v>
      </c>
      <c r="K33" s="313"/>
      <c r="L33" s="546" t="s">
        <v>302</v>
      </c>
      <c r="Q33" s="545">
        <v>31</v>
      </c>
      <c r="R33" s="313" t="s">
        <v>350</v>
      </c>
      <c r="S33" s="313"/>
      <c r="T33" s="546" t="s">
        <v>302</v>
      </c>
      <c r="U33" s="545">
        <v>31</v>
      </c>
      <c r="V33" s="313" t="s">
        <v>351</v>
      </c>
      <c r="W33" s="313"/>
      <c r="X33" s="546" t="s">
        <v>302</v>
      </c>
    </row>
  </sheetData>
  <mergeCells count="1">
    <mergeCell ref="A1:X1"/>
  </mergeCells>
  <phoneticPr fontId="5" type="noConversion"/>
  <pageMargins left="0.7" right="0.7" top="0.75" bottom="0.75" header="0.3" footer="0.3"/>
  <pageSetup paperSize="9" scale="68"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33"/>
  <sheetViews>
    <sheetView workbookViewId="0">
      <selection activeCell="S64" sqref="S64"/>
    </sheetView>
  </sheetViews>
  <sheetFormatPr baseColWidth="10" defaultRowHeight="16"/>
  <cols>
    <col min="1" max="2" width="3.6640625" customWidth="1"/>
    <col min="3" max="3" width="18.83203125" customWidth="1"/>
    <col min="4" max="6" width="3.6640625" customWidth="1"/>
    <col min="7" max="7" width="18.83203125" customWidth="1"/>
    <col min="8" max="10" width="3.6640625" customWidth="1"/>
    <col min="11" max="11" width="18.83203125" customWidth="1"/>
    <col min="12" max="14" width="3.6640625" customWidth="1"/>
    <col min="15" max="15" width="18.83203125" customWidth="1"/>
    <col min="16" max="18" width="3.6640625" customWidth="1"/>
    <col min="19" max="19" width="18.83203125" customWidth="1"/>
    <col min="20" max="22" width="3.6640625" customWidth="1"/>
    <col min="23" max="23" width="18.83203125" customWidth="1"/>
    <col min="24" max="24" width="3.6640625" customWidth="1"/>
  </cols>
  <sheetData>
    <row r="1" spans="1:24" ht="30">
      <c r="A1" s="1146" t="str">
        <f>"ÅRSKALENDER  for  "&amp;UPPER(Maaned!A1)&amp;"  "&amp;Maaned!A3&amp;" - "&amp;TEXT(Maaned!A3-1999,"00")</f>
        <v>ÅRSKALENDER  for  MIN EGEN SKOLE  2019 - 20</v>
      </c>
      <c r="B1" s="1147"/>
      <c r="C1" s="1147"/>
      <c r="D1" s="1147"/>
      <c r="E1" s="1147"/>
      <c r="F1" s="1147"/>
      <c r="G1" s="1147"/>
      <c r="H1" s="1147"/>
      <c r="I1" s="1147"/>
      <c r="J1" s="1147"/>
      <c r="K1" s="1147"/>
      <c r="L1" s="1147"/>
      <c r="M1" s="1147"/>
      <c r="N1" s="1147"/>
      <c r="O1" s="1147"/>
      <c r="P1" s="1147"/>
      <c r="Q1" s="1147"/>
      <c r="R1" s="1147"/>
      <c r="S1" s="1147"/>
      <c r="T1" s="1147"/>
      <c r="U1" s="1147"/>
      <c r="V1" s="1147"/>
      <c r="W1" s="1147"/>
      <c r="X1" s="1148"/>
    </row>
    <row r="2" spans="1:24" ht="18">
      <c r="A2" s="301" t="s">
        <v>165</v>
      </c>
      <c r="B2" s="299"/>
      <c r="C2" s="298"/>
      <c r="D2" s="297"/>
      <c r="E2" s="300" t="s">
        <v>166</v>
      </c>
      <c r="F2" s="299"/>
      <c r="G2" s="298"/>
      <c r="H2" s="297"/>
      <c r="I2" s="300" t="s">
        <v>167</v>
      </c>
      <c r="J2" s="299"/>
      <c r="K2" s="298"/>
      <c r="L2" s="297"/>
      <c r="M2" s="300" t="s">
        <v>168</v>
      </c>
      <c r="N2" s="299"/>
      <c r="O2" s="298"/>
      <c r="P2" s="297"/>
      <c r="Q2" s="300" t="s">
        <v>169</v>
      </c>
      <c r="R2" s="299"/>
      <c r="S2" s="298"/>
      <c r="T2" s="297"/>
      <c r="U2" s="300" t="s">
        <v>170</v>
      </c>
      <c r="V2" s="299"/>
      <c r="W2" s="298"/>
      <c r="X2" s="297"/>
    </row>
    <row r="3" spans="1:24">
      <c r="A3" s="551">
        <v>1</v>
      </c>
      <c r="B3" s="551" t="s">
        <v>347</v>
      </c>
      <c r="C3" s="551"/>
      <c r="D3" s="552" t="s">
        <v>302</v>
      </c>
      <c r="E3" s="550">
        <v>1</v>
      </c>
      <c r="F3" s="551" t="s">
        <v>352</v>
      </c>
      <c r="G3" s="551"/>
      <c r="H3" s="552" t="s">
        <v>302</v>
      </c>
      <c r="I3" s="538">
        <v>1</v>
      </c>
      <c r="J3" s="538" t="s">
        <v>346</v>
      </c>
      <c r="K3" s="538"/>
      <c r="L3" s="539" t="s">
        <v>302</v>
      </c>
      <c r="M3" s="537">
        <v>1</v>
      </c>
      <c r="N3" s="538" t="s">
        <v>351</v>
      </c>
      <c r="O3" s="538"/>
      <c r="P3" s="539" t="s">
        <v>302</v>
      </c>
      <c r="Q3" s="538">
        <v>1</v>
      </c>
      <c r="R3" s="538" t="s">
        <v>348</v>
      </c>
      <c r="S3" s="538"/>
      <c r="T3" s="539">
        <v>22.714285714285715</v>
      </c>
      <c r="U3" s="537">
        <v>1</v>
      </c>
      <c r="V3" s="538" t="s">
        <v>346</v>
      </c>
      <c r="W3" s="538"/>
      <c r="X3" s="539" t="s">
        <v>302</v>
      </c>
    </row>
    <row r="4" spans="1:24">
      <c r="A4" s="543">
        <v>2</v>
      </c>
      <c r="B4" s="543" t="s">
        <v>352</v>
      </c>
      <c r="C4" s="543"/>
      <c r="D4" s="544" t="s">
        <v>302</v>
      </c>
      <c r="E4" s="540">
        <v>2</v>
      </c>
      <c r="F4" s="324" t="s">
        <v>348</v>
      </c>
      <c r="G4" s="324"/>
      <c r="H4" s="541">
        <v>9.7142857142857135</v>
      </c>
      <c r="I4" s="324">
        <v>2</v>
      </c>
      <c r="J4" s="324" t="s">
        <v>349</v>
      </c>
      <c r="K4" s="324"/>
      <c r="L4" s="541" t="s">
        <v>302</v>
      </c>
      <c r="M4" s="542">
        <v>2</v>
      </c>
      <c r="N4" s="543" t="s">
        <v>347</v>
      </c>
      <c r="O4" s="543"/>
      <c r="P4" s="544" t="s">
        <v>302</v>
      </c>
      <c r="Q4" s="324">
        <v>2</v>
      </c>
      <c r="R4" s="324" t="s">
        <v>350</v>
      </c>
      <c r="S4" s="324"/>
      <c r="T4" s="541" t="s">
        <v>302</v>
      </c>
      <c r="U4" s="540">
        <v>2</v>
      </c>
      <c r="V4" s="324" t="s">
        <v>349</v>
      </c>
      <c r="W4" s="324"/>
      <c r="X4" s="541" t="s">
        <v>302</v>
      </c>
    </row>
    <row r="5" spans="1:24">
      <c r="A5" s="324">
        <v>3</v>
      </c>
      <c r="B5" s="324" t="s">
        <v>348</v>
      </c>
      <c r="C5" s="324"/>
      <c r="D5" s="541">
        <v>5.7142857142857144</v>
      </c>
      <c r="E5" s="540">
        <v>3</v>
      </c>
      <c r="F5" s="324" t="s">
        <v>350</v>
      </c>
      <c r="G5" s="324"/>
      <c r="H5" s="541" t="s">
        <v>302</v>
      </c>
      <c r="I5" s="324">
        <v>3</v>
      </c>
      <c r="J5" s="324" t="s">
        <v>351</v>
      </c>
      <c r="K5" s="324"/>
      <c r="L5" s="541" t="s">
        <v>302</v>
      </c>
      <c r="M5" s="542">
        <v>3</v>
      </c>
      <c r="N5" s="543" t="s">
        <v>352</v>
      </c>
      <c r="O5" s="543"/>
      <c r="P5" s="544" t="s">
        <v>302</v>
      </c>
      <c r="Q5" s="324">
        <v>3</v>
      </c>
      <c r="R5" s="324" t="s">
        <v>346</v>
      </c>
      <c r="S5" s="324"/>
      <c r="T5" s="541" t="s">
        <v>302</v>
      </c>
      <c r="U5" s="540">
        <v>3</v>
      </c>
      <c r="V5" s="324" t="s">
        <v>351</v>
      </c>
      <c r="W5" s="324"/>
      <c r="X5" s="541" t="s">
        <v>302</v>
      </c>
    </row>
    <row r="6" spans="1:24">
      <c r="A6" s="324">
        <v>4</v>
      </c>
      <c r="B6" s="324" t="s">
        <v>350</v>
      </c>
      <c r="C6" s="324"/>
      <c r="D6" s="541" t="s">
        <v>302</v>
      </c>
      <c r="E6" s="540">
        <v>4</v>
      </c>
      <c r="F6" s="324" t="s">
        <v>346</v>
      </c>
      <c r="G6" s="324"/>
      <c r="H6" s="541" t="s">
        <v>302</v>
      </c>
      <c r="I6" s="543">
        <v>4</v>
      </c>
      <c r="J6" s="543" t="s">
        <v>347</v>
      </c>
      <c r="K6" s="543"/>
      <c r="L6" s="544" t="s">
        <v>302</v>
      </c>
      <c r="M6" s="540">
        <v>4</v>
      </c>
      <c r="N6" s="324" t="s">
        <v>348</v>
      </c>
      <c r="O6" s="324"/>
      <c r="P6" s="541">
        <v>18.714285714285715</v>
      </c>
      <c r="Q6" s="324">
        <v>4</v>
      </c>
      <c r="R6" s="324" t="s">
        <v>349</v>
      </c>
      <c r="S6" s="324"/>
      <c r="T6" s="541" t="s">
        <v>302</v>
      </c>
      <c r="U6" s="542">
        <v>4</v>
      </c>
      <c r="V6" s="543" t="s">
        <v>347</v>
      </c>
      <c r="W6" s="543"/>
      <c r="X6" s="544" t="s">
        <v>302</v>
      </c>
    </row>
    <row r="7" spans="1:24">
      <c r="A7" s="324">
        <v>5</v>
      </c>
      <c r="B7" s="324" t="s">
        <v>346</v>
      </c>
      <c r="C7" s="324"/>
      <c r="D7" s="541" t="s">
        <v>302</v>
      </c>
      <c r="E7" s="540">
        <v>5</v>
      </c>
      <c r="F7" s="324" t="s">
        <v>349</v>
      </c>
      <c r="G7" s="324"/>
      <c r="H7" s="541" t="s">
        <v>302</v>
      </c>
      <c r="I7" s="543">
        <v>5</v>
      </c>
      <c r="J7" s="543" t="s">
        <v>352</v>
      </c>
      <c r="K7" s="543"/>
      <c r="L7" s="544" t="s">
        <v>302</v>
      </c>
      <c r="M7" s="540">
        <v>5</v>
      </c>
      <c r="N7" s="324" t="s">
        <v>350</v>
      </c>
      <c r="O7" s="324"/>
      <c r="P7" s="541" t="s">
        <v>302</v>
      </c>
      <c r="Q7" s="324">
        <v>5</v>
      </c>
      <c r="R7" s="324" t="s">
        <v>351</v>
      </c>
      <c r="S7" s="324"/>
      <c r="T7" s="541" t="s">
        <v>302</v>
      </c>
      <c r="U7" s="542">
        <v>5</v>
      </c>
      <c r="V7" s="543" t="s">
        <v>352</v>
      </c>
      <c r="W7" s="543"/>
      <c r="X7" s="544" t="s">
        <v>302</v>
      </c>
    </row>
    <row r="8" spans="1:24">
      <c r="A8" s="324">
        <v>6</v>
      </c>
      <c r="B8" s="324" t="s">
        <v>349</v>
      </c>
      <c r="C8" s="324"/>
      <c r="D8" s="541" t="s">
        <v>302</v>
      </c>
      <c r="E8" s="540">
        <v>6</v>
      </c>
      <c r="F8" s="324" t="s">
        <v>351</v>
      </c>
      <c r="G8" s="324"/>
      <c r="H8" s="541" t="s">
        <v>302</v>
      </c>
      <c r="I8" s="324">
        <v>6</v>
      </c>
      <c r="J8" s="324" t="s">
        <v>348</v>
      </c>
      <c r="K8" s="324"/>
      <c r="L8" s="541">
        <v>14.714285714285714</v>
      </c>
      <c r="M8" s="540">
        <v>6</v>
      </c>
      <c r="N8" s="324" t="s">
        <v>346</v>
      </c>
      <c r="O8" s="324"/>
      <c r="P8" s="541" t="s">
        <v>302</v>
      </c>
      <c r="Q8" s="543">
        <v>6</v>
      </c>
      <c r="R8" s="543" t="s">
        <v>347</v>
      </c>
      <c r="S8" s="543"/>
      <c r="T8" s="544" t="s">
        <v>302</v>
      </c>
      <c r="U8" s="540">
        <v>6</v>
      </c>
      <c r="V8" s="324" t="s">
        <v>348</v>
      </c>
      <c r="W8" s="324"/>
      <c r="X8" s="541">
        <v>27.714285714285715</v>
      </c>
    </row>
    <row r="9" spans="1:24">
      <c r="A9" s="324">
        <v>7</v>
      </c>
      <c r="B9" s="324" t="s">
        <v>351</v>
      </c>
      <c r="C9" s="324"/>
      <c r="D9" s="541" t="s">
        <v>302</v>
      </c>
      <c r="E9" s="542">
        <v>7</v>
      </c>
      <c r="F9" s="543" t="s">
        <v>347</v>
      </c>
      <c r="G9" s="543"/>
      <c r="H9" s="544" t="s">
        <v>302</v>
      </c>
      <c r="I9" s="324">
        <v>7</v>
      </c>
      <c r="J9" s="324" t="s">
        <v>350</v>
      </c>
      <c r="K9" s="324"/>
      <c r="L9" s="541" t="s">
        <v>302</v>
      </c>
      <c r="M9" s="540">
        <v>7</v>
      </c>
      <c r="N9" s="324" t="s">
        <v>349</v>
      </c>
      <c r="O9" s="324"/>
      <c r="P9" s="541" t="s">
        <v>302</v>
      </c>
      <c r="Q9" s="543">
        <v>7</v>
      </c>
      <c r="R9" s="543" t="s">
        <v>352</v>
      </c>
      <c r="S9" s="543"/>
      <c r="T9" s="544" t="s">
        <v>302</v>
      </c>
      <c r="U9" s="540">
        <v>7</v>
      </c>
      <c r="V9" s="324" t="s">
        <v>350</v>
      </c>
      <c r="W9" s="324"/>
      <c r="X9" s="541" t="s">
        <v>302</v>
      </c>
    </row>
    <row r="10" spans="1:24">
      <c r="A10" s="543">
        <v>8</v>
      </c>
      <c r="B10" s="543" t="s">
        <v>347</v>
      </c>
      <c r="C10" s="543"/>
      <c r="D10" s="544" t="s">
        <v>302</v>
      </c>
      <c r="E10" s="542">
        <v>8</v>
      </c>
      <c r="F10" s="543" t="s">
        <v>352</v>
      </c>
      <c r="G10" s="543"/>
      <c r="H10" s="544" t="s">
        <v>302</v>
      </c>
      <c r="I10" s="324">
        <v>8</v>
      </c>
      <c r="J10" s="324" t="s">
        <v>346</v>
      </c>
      <c r="K10" s="324"/>
      <c r="L10" s="541" t="s">
        <v>302</v>
      </c>
      <c r="M10" s="540">
        <v>8</v>
      </c>
      <c r="N10" s="324" t="s">
        <v>351</v>
      </c>
      <c r="O10" s="324"/>
      <c r="P10" s="541" t="s">
        <v>302</v>
      </c>
      <c r="Q10" s="324">
        <v>8</v>
      </c>
      <c r="R10" s="324" t="s">
        <v>348</v>
      </c>
      <c r="S10" s="324"/>
      <c r="T10" s="541">
        <v>23.714285714285715</v>
      </c>
      <c r="U10" s="540">
        <v>8</v>
      </c>
      <c r="V10" s="324" t="s">
        <v>346</v>
      </c>
      <c r="W10" s="324"/>
      <c r="X10" s="541" t="s">
        <v>302</v>
      </c>
    </row>
    <row r="11" spans="1:24">
      <c r="A11" s="543">
        <v>9</v>
      </c>
      <c r="B11" s="543" t="s">
        <v>352</v>
      </c>
      <c r="C11" s="543"/>
      <c r="D11" s="544" t="s">
        <v>302</v>
      </c>
      <c r="E11" s="540">
        <v>9</v>
      </c>
      <c r="F11" s="324" t="s">
        <v>348</v>
      </c>
      <c r="G11" s="324"/>
      <c r="H11" s="541">
        <v>10.714285714285714</v>
      </c>
      <c r="I11" s="324">
        <v>9</v>
      </c>
      <c r="J11" s="324" t="s">
        <v>349</v>
      </c>
      <c r="K11" s="324"/>
      <c r="L11" s="541" t="s">
        <v>302</v>
      </c>
      <c r="M11" s="542">
        <v>9</v>
      </c>
      <c r="N11" s="543" t="s">
        <v>347</v>
      </c>
      <c r="O11" s="543"/>
      <c r="P11" s="544" t="s">
        <v>302</v>
      </c>
      <c r="Q11" s="324">
        <v>9</v>
      </c>
      <c r="R11" s="324" t="s">
        <v>350</v>
      </c>
      <c r="S11" s="324"/>
      <c r="T11" s="541" t="s">
        <v>302</v>
      </c>
      <c r="U11" s="540">
        <v>9</v>
      </c>
      <c r="V11" s="324" t="s">
        <v>349</v>
      </c>
      <c r="W11" s="324"/>
      <c r="X11" s="541" t="s">
        <v>302</v>
      </c>
    </row>
    <row r="12" spans="1:24">
      <c r="A12" s="324">
        <v>10</v>
      </c>
      <c r="B12" s="324" t="s">
        <v>348</v>
      </c>
      <c r="C12" s="324"/>
      <c r="D12" s="541">
        <v>6.7142857142857144</v>
      </c>
      <c r="E12" s="540">
        <v>10</v>
      </c>
      <c r="F12" s="324" t="s">
        <v>350</v>
      </c>
      <c r="G12" s="324"/>
      <c r="H12" s="541" t="s">
        <v>302</v>
      </c>
      <c r="I12" s="324">
        <v>10</v>
      </c>
      <c r="J12" s="324" t="s">
        <v>351</v>
      </c>
      <c r="K12" s="324"/>
      <c r="L12" s="541" t="s">
        <v>302</v>
      </c>
      <c r="M12" s="542">
        <v>10</v>
      </c>
      <c r="N12" s="543" t="s">
        <v>352</v>
      </c>
      <c r="O12" s="543"/>
      <c r="P12" s="544" t="s">
        <v>302</v>
      </c>
      <c r="Q12" s="324">
        <v>10</v>
      </c>
      <c r="R12" s="324" t="s">
        <v>346</v>
      </c>
      <c r="S12" s="324"/>
      <c r="T12" s="541" t="s">
        <v>302</v>
      </c>
      <c r="U12" s="540">
        <v>10</v>
      </c>
      <c r="V12" s="324" t="s">
        <v>351</v>
      </c>
      <c r="W12" s="324"/>
      <c r="X12" s="541" t="s">
        <v>302</v>
      </c>
    </row>
    <row r="13" spans="1:24">
      <c r="A13" s="324">
        <v>11</v>
      </c>
      <c r="B13" s="324" t="s">
        <v>350</v>
      </c>
      <c r="C13" s="324"/>
      <c r="D13" s="541" t="s">
        <v>302</v>
      </c>
      <c r="E13" s="540">
        <v>11</v>
      </c>
      <c r="F13" s="324" t="s">
        <v>346</v>
      </c>
      <c r="G13" s="324"/>
      <c r="H13" s="541" t="s">
        <v>302</v>
      </c>
      <c r="I13" s="543">
        <v>11</v>
      </c>
      <c r="J13" s="543" t="s">
        <v>347</v>
      </c>
      <c r="K13" s="543"/>
      <c r="L13" s="544" t="s">
        <v>302</v>
      </c>
      <c r="M13" s="540">
        <v>11</v>
      </c>
      <c r="N13" s="324" t="s">
        <v>348</v>
      </c>
      <c r="O13" s="324"/>
      <c r="P13" s="541">
        <v>19.714285714285715</v>
      </c>
      <c r="Q13" s="324">
        <v>11</v>
      </c>
      <c r="R13" s="324" t="s">
        <v>349</v>
      </c>
      <c r="S13" s="324"/>
      <c r="T13" s="541" t="s">
        <v>302</v>
      </c>
      <c r="U13" s="542">
        <v>11</v>
      </c>
      <c r="V13" s="543" t="s">
        <v>347</v>
      </c>
      <c r="W13" s="543"/>
      <c r="X13" s="544" t="s">
        <v>302</v>
      </c>
    </row>
    <row r="14" spans="1:24">
      <c r="A14" s="324">
        <v>12</v>
      </c>
      <c r="B14" s="324" t="s">
        <v>346</v>
      </c>
      <c r="C14" s="324"/>
      <c r="D14" s="541" t="s">
        <v>302</v>
      </c>
      <c r="E14" s="540">
        <v>12</v>
      </c>
      <c r="F14" s="324" t="s">
        <v>349</v>
      </c>
      <c r="G14" s="324"/>
      <c r="H14" s="541" t="s">
        <v>302</v>
      </c>
      <c r="I14" s="543">
        <v>12</v>
      </c>
      <c r="J14" s="543" t="s">
        <v>352</v>
      </c>
      <c r="K14" s="543"/>
      <c r="L14" s="544" t="s">
        <v>302</v>
      </c>
      <c r="M14" s="540">
        <v>12</v>
      </c>
      <c r="N14" s="324" t="s">
        <v>350</v>
      </c>
      <c r="O14" s="324"/>
      <c r="P14" s="541" t="s">
        <v>302</v>
      </c>
      <c r="Q14" s="324">
        <v>12</v>
      </c>
      <c r="R14" s="324" t="s">
        <v>351</v>
      </c>
      <c r="S14" s="324"/>
      <c r="T14" s="541" t="s">
        <v>302</v>
      </c>
      <c r="U14" s="542">
        <v>12</v>
      </c>
      <c r="V14" s="543" t="s">
        <v>352</v>
      </c>
      <c r="W14" s="543"/>
      <c r="X14" s="544" t="s">
        <v>302</v>
      </c>
    </row>
    <row r="15" spans="1:24">
      <c r="A15" s="324">
        <v>13</v>
      </c>
      <c r="B15" s="324" t="s">
        <v>349</v>
      </c>
      <c r="C15" s="324"/>
      <c r="D15" s="541" t="s">
        <v>302</v>
      </c>
      <c r="E15" s="540">
        <v>13</v>
      </c>
      <c r="F15" s="324" t="s">
        <v>351</v>
      </c>
      <c r="G15" s="324"/>
      <c r="H15" s="541" t="s">
        <v>302</v>
      </c>
      <c r="I15" s="324">
        <v>13</v>
      </c>
      <c r="J15" s="324" t="s">
        <v>348</v>
      </c>
      <c r="K15" s="324"/>
      <c r="L15" s="541">
        <v>15.714285714285714</v>
      </c>
      <c r="M15" s="540">
        <v>13</v>
      </c>
      <c r="N15" s="324" t="s">
        <v>346</v>
      </c>
      <c r="O15" s="324"/>
      <c r="P15" s="541" t="s">
        <v>302</v>
      </c>
      <c r="Q15" s="543">
        <v>13</v>
      </c>
      <c r="R15" s="543" t="s">
        <v>347</v>
      </c>
      <c r="S15" s="543"/>
      <c r="T15" s="544" t="s">
        <v>302</v>
      </c>
      <c r="U15" s="540">
        <v>13</v>
      </c>
      <c r="V15" s="324" t="s">
        <v>348</v>
      </c>
      <c r="W15" s="324"/>
      <c r="X15" s="541">
        <v>28.714285714285715</v>
      </c>
    </row>
    <row r="16" spans="1:24">
      <c r="A16" s="324">
        <v>14</v>
      </c>
      <c r="B16" s="324" t="s">
        <v>351</v>
      </c>
      <c r="C16" s="324"/>
      <c r="D16" s="541" t="s">
        <v>302</v>
      </c>
      <c r="E16" s="542">
        <v>14</v>
      </c>
      <c r="F16" s="543" t="s">
        <v>347</v>
      </c>
      <c r="G16" s="543"/>
      <c r="H16" s="544" t="s">
        <v>302</v>
      </c>
      <c r="I16" s="324">
        <v>14</v>
      </c>
      <c r="J16" s="324" t="s">
        <v>350</v>
      </c>
      <c r="K16" s="324"/>
      <c r="L16" s="541" t="s">
        <v>302</v>
      </c>
      <c r="M16" s="540">
        <v>14</v>
      </c>
      <c r="N16" s="324" t="s">
        <v>349</v>
      </c>
      <c r="O16" s="324"/>
      <c r="P16" s="541" t="s">
        <v>302</v>
      </c>
      <c r="Q16" s="543">
        <v>14</v>
      </c>
      <c r="R16" s="543" t="s">
        <v>352</v>
      </c>
      <c r="S16" s="543"/>
      <c r="T16" s="544" t="s">
        <v>302</v>
      </c>
      <c r="U16" s="540">
        <v>14</v>
      </c>
      <c r="V16" s="324" t="s">
        <v>350</v>
      </c>
      <c r="W16" s="324"/>
      <c r="X16" s="541" t="s">
        <v>302</v>
      </c>
    </row>
    <row r="17" spans="1:24">
      <c r="A17" s="543">
        <v>15</v>
      </c>
      <c r="B17" s="543" t="s">
        <v>347</v>
      </c>
      <c r="C17" s="543"/>
      <c r="D17" s="544" t="s">
        <v>302</v>
      </c>
      <c r="E17" s="542">
        <v>15</v>
      </c>
      <c r="F17" s="543" t="s">
        <v>352</v>
      </c>
      <c r="G17" s="543"/>
      <c r="H17" s="544" t="s">
        <v>302</v>
      </c>
      <c r="I17" s="324">
        <v>15</v>
      </c>
      <c r="J17" s="324" t="s">
        <v>346</v>
      </c>
      <c r="K17" s="324"/>
      <c r="L17" s="541" t="s">
        <v>302</v>
      </c>
      <c r="M17" s="540">
        <v>15</v>
      </c>
      <c r="N17" s="324" t="s">
        <v>351</v>
      </c>
      <c r="O17" s="324"/>
      <c r="P17" s="541" t="s">
        <v>302</v>
      </c>
      <c r="Q17" s="324">
        <v>15</v>
      </c>
      <c r="R17" s="324" t="s">
        <v>348</v>
      </c>
      <c r="S17" s="324"/>
      <c r="T17" s="541">
        <v>24.714285714285715</v>
      </c>
      <c r="U17" s="540">
        <v>15</v>
      </c>
      <c r="V17" s="324" t="s">
        <v>346</v>
      </c>
      <c r="W17" s="324"/>
      <c r="X17" s="541" t="s">
        <v>302</v>
      </c>
    </row>
    <row r="18" spans="1:24">
      <c r="A18" s="543">
        <v>16</v>
      </c>
      <c r="B18" s="543" t="s">
        <v>352</v>
      </c>
      <c r="C18" s="543"/>
      <c r="D18" s="544" t="s">
        <v>302</v>
      </c>
      <c r="E18" s="540">
        <v>16</v>
      </c>
      <c r="F18" s="324" t="s">
        <v>348</v>
      </c>
      <c r="G18" s="324"/>
      <c r="H18" s="541">
        <v>11.714285714285714</v>
      </c>
      <c r="I18" s="324">
        <v>16</v>
      </c>
      <c r="J18" s="324" t="s">
        <v>349</v>
      </c>
      <c r="K18" s="324"/>
      <c r="L18" s="541" t="s">
        <v>302</v>
      </c>
      <c r="M18" s="542">
        <v>16</v>
      </c>
      <c r="N18" s="543" t="s">
        <v>347</v>
      </c>
      <c r="O18" s="543"/>
      <c r="P18" s="544" t="s">
        <v>302</v>
      </c>
      <c r="Q18" s="324">
        <v>16</v>
      </c>
      <c r="R18" s="324" t="s">
        <v>350</v>
      </c>
      <c r="S18" s="324"/>
      <c r="T18" s="541" t="s">
        <v>302</v>
      </c>
      <c r="U18" s="540">
        <v>16</v>
      </c>
      <c r="V18" s="324" t="s">
        <v>349</v>
      </c>
      <c r="W18" s="324"/>
      <c r="X18" s="541" t="s">
        <v>302</v>
      </c>
    </row>
    <row r="19" spans="1:24">
      <c r="A19" s="324">
        <v>17</v>
      </c>
      <c r="B19" s="324" t="s">
        <v>348</v>
      </c>
      <c r="C19" s="324"/>
      <c r="D19" s="541">
        <v>7.7142857142857144</v>
      </c>
      <c r="E19" s="540">
        <v>17</v>
      </c>
      <c r="F19" s="324" t="s">
        <v>350</v>
      </c>
      <c r="G19" s="324"/>
      <c r="H19" s="541" t="s">
        <v>302</v>
      </c>
      <c r="I19" s="324">
        <v>17</v>
      </c>
      <c r="J19" s="324" t="s">
        <v>351</v>
      </c>
      <c r="K19" s="324"/>
      <c r="L19" s="541" t="s">
        <v>302</v>
      </c>
      <c r="M19" s="542">
        <v>17</v>
      </c>
      <c r="N19" s="543" t="s">
        <v>352</v>
      </c>
      <c r="O19" s="543"/>
      <c r="P19" s="544" t="s">
        <v>302</v>
      </c>
      <c r="Q19" s="324">
        <v>17</v>
      </c>
      <c r="R19" s="324" t="s">
        <v>346</v>
      </c>
      <c r="S19" s="324"/>
      <c r="T19" s="541" t="s">
        <v>302</v>
      </c>
      <c r="U19" s="540">
        <v>17</v>
      </c>
      <c r="V19" s="324" t="s">
        <v>351</v>
      </c>
      <c r="W19" s="324"/>
      <c r="X19" s="541" t="s">
        <v>302</v>
      </c>
    </row>
    <row r="20" spans="1:24">
      <c r="A20" s="324">
        <v>18</v>
      </c>
      <c r="B20" s="324" t="s">
        <v>350</v>
      </c>
      <c r="C20" s="324"/>
      <c r="D20" s="541" t="s">
        <v>302</v>
      </c>
      <c r="E20" s="540">
        <v>18</v>
      </c>
      <c r="F20" s="324" t="s">
        <v>346</v>
      </c>
      <c r="G20" s="324"/>
      <c r="H20" s="541" t="s">
        <v>302</v>
      </c>
      <c r="I20" s="543">
        <v>18</v>
      </c>
      <c r="J20" s="543" t="s">
        <v>347</v>
      </c>
      <c r="K20" s="543"/>
      <c r="L20" s="544" t="s">
        <v>302</v>
      </c>
      <c r="M20" s="540">
        <v>18</v>
      </c>
      <c r="N20" s="324" t="s">
        <v>348</v>
      </c>
      <c r="O20" s="324"/>
      <c r="P20" s="541">
        <v>20.714285714285715</v>
      </c>
      <c r="Q20" s="324">
        <v>18</v>
      </c>
      <c r="R20" s="324" t="s">
        <v>349</v>
      </c>
      <c r="S20" s="324"/>
      <c r="T20" s="541" t="s">
        <v>302</v>
      </c>
      <c r="U20" s="542">
        <v>18</v>
      </c>
      <c r="V20" s="543" t="s">
        <v>347</v>
      </c>
      <c r="W20" s="543"/>
      <c r="X20" s="544" t="s">
        <v>302</v>
      </c>
    </row>
    <row r="21" spans="1:24">
      <c r="A21" s="324">
        <v>19</v>
      </c>
      <c r="B21" s="324" t="s">
        <v>346</v>
      </c>
      <c r="C21" s="324"/>
      <c r="D21" s="541" t="s">
        <v>302</v>
      </c>
      <c r="E21" s="540">
        <v>19</v>
      </c>
      <c r="F21" s="324" t="s">
        <v>349</v>
      </c>
      <c r="G21" s="324"/>
      <c r="H21" s="541" t="s">
        <v>302</v>
      </c>
      <c r="I21" s="543">
        <v>19</v>
      </c>
      <c r="J21" s="543" t="s">
        <v>352</v>
      </c>
      <c r="K21" s="543"/>
      <c r="L21" s="544" t="s">
        <v>302</v>
      </c>
      <c r="M21" s="540">
        <v>19</v>
      </c>
      <c r="N21" s="324" t="s">
        <v>350</v>
      </c>
      <c r="O21" s="324"/>
      <c r="P21" s="541" t="s">
        <v>302</v>
      </c>
      <c r="Q21" s="324">
        <v>19</v>
      </c>
      <c r="R21" s="324" t="s">
        <v>351</v>
      </c>
      <c r="S21" s="324"/>
      <c r="T21" s="541" t="s">
        <v>302</v>
      </c>
      <c r="U21" s="542">
        <v>19</v>
      </c>
      <c r="V21" s="543" t="s">
        <v>352</v>
      </c>
      <c r="W21" s="543"/>
      <c r="X21" s="544" t="s">
        <v>302</v>
      </c>
    </row>
    <row r="22" spans="1:24">
      <c r="A22" s="324">
        <v>20</v>
      </c>
      <c r="B22" s="324" t="s">
        <v>349</v>
      </c>
      <c r="C22" s="324"/>
      <c r="D22" s="541" t="s">
        <v>302</v>
      </c>
      <c r="E22" s="540">
        <v>20</v>
      </c>
      <c r="F22" s="324" t="s">
        <v>351</v>
      </c>
      <c r="G22" s="324"/>
      <c r="H22" s="541" t="s">
        <v>302</v>
      </c>
      <c r="I22" s="324">
        <v>20</v>
      </c>
      <c r="J22" s="324" t="s">
        <v>348</v>
      </c>
      <c r="K22" s="324"/>
      <c r="L22" s="541">
        <v>16.714285714285715</v>
      </c>
      <c r="M22" s="540">
        <v>20</v>
      </c>
      <c r="N22" s="324" t="s">
        <v>346</v>
      </c>
      <c r="O22" s="324"/>
      <c r="P22" s="541" t="s">
        <v>302</v>
      </c>
      <c r="Q22" s="543">
        <v>20</v>
      </c>
      <c r="R22" s="543" t="s">
        <v>347</v>
      </c>
      <c r="S22" s="543"/>
      <c r="T22" s="544" t="s">
        <v>302</v>
      </c>
      <c r="U22" s="540">
        <v>20</v>
      </c>
      <c r="V22" s="324" t="s">
        <v>348</v>
      </c>
      <c r="W22" s="324"/>
      <c r="X22" s="541">
        <v>29.714285714285715</v>
      </c>
    </row>
    <row r="23" spans="1:24">
      <c r="A23" s="324">
        <v>21</v>
      </c>
      <c r="B23" s="324" t="s">
        <v>351</v>
      </c>
      <c r="C23" s="324"/>
      <c r="D23" s="541" t="s">
        <v>302</v>
      </c>
      <c r="E23" s="542">
        <v>21</v>
      </c>
      <c r="F23" s="543" t="s">
        <v>347</v>
      </c>
      <c r="G23" s="543"/>
      <c r="H23" s="544" t="s">
        <v>302</v>
      </c>
      <c r="I23" s="324">
        <v>21</v>
      </c>
      <c r="J23" s="324" t="s">
        <v>350</v>
      </c>
      <c r="K23" s="324"/>
      <c r="L23" s="541" t="s">
        <v>302</v>
      </c>
      <c r="M23" s="540">
        <v>21</v>
      </c>
      <c r="N23" s="324" t="s">
        <v>349</v>
      </c>
      <c r="O23" s="324"/>
      <c r="P23" s="541" t="s">
        <v>302</v>
      </c>
      <c r="Q23" s="543">
        <v>21</v>
      </c>
      <c r="R23" s="543" t="s">
        <v>352</v>
      </c>
      <c r="S23" s="543"/>
      <c r="T23" s="544" t="s">
        <v>302</v>
      </c>
      <c r="U23" s="540">
        <v>21</v>
      </c>
      <c r="V23" s="324" t="s">
        <v>350</v>
      </c>
      <c r="W23" s="324"/>
      <c r="X23" s="541" t="s">
        <v>302</v>
      </c>
    </row>
    <row r="24" spans="1:24">
      <c r="A24" s="543">
        <v>22</v>
      </c>
      <c r="B24" s="543" t="s">
        <v>347</v>
      </c>
      <c r="C24" s="543"/>
      <c r="D24" s="544" t="s">
        <v>302</v>
      </c>
      <c r="E24" s="542">
        <v>22</v>
      </c>
      <c r="F24" s="543" t="s">
        <v>352</v>
      </c>
      <c r="G24" s="543"/>
      <c r="H24" s="544" t="s">
        <v>302</v>
      </c>
      <c r="I24" s="324">
        <v>22</v>
      </c>
      <c r="J24" s="324" t="s">
        <v>346</v>
      </c>
      <c r="K24" s="324"/>
      <c r="L24" s="541" t="s">
        <v>302</v>
      </c>
      <c r="M24" s="540">
        <v>22</v>
      </c>
      <c r="N24" s="324" t="s">
        <v>351</v>
      </c>
      <c r="O24" s="324"/>
      <c r="P24" s="541" t="s">
        <v>302</v>
      </c>
      <c r="Q24" s="324">
        <v>22</v>
      </c>
      <c r="R24" s="324" t="s">
        <v>348</v>
      </c>
      <c r="S24" s="324"/>
      <c r="T24" s="541">
        <v>25.714285714285715</v>
      </c>
      <c r="U24" s="540">
        <v>22</v>
      </c>
      <c r="V24" s="324" t="s">
        <v>346</v>
      </c>
      <c r="W24" s="324"/>
      <c r="X24" s="541" t="s">
        <v>302</v>
      </c>
    </row>
    <row r="25" spans="1:24">
      <c r="A25" s="543">
        <v>23</v>
      </c>
      <c r="B25" s="543" t="s">
        <v>352</v>
      </c>
      <c r="C25" s="543"/>
      <c r="D25" s="544" t="s">
        <v>302</v>
      </c>
      <c r="E25" s="540">
        <v>23</v>
      </c>
      <c r="F25" s="324" t="s">
        <v>348</v>
      </c>
      <c r="G25" s="324"/>
      <c r="H25" s="541">
        <v>12.714285714285714</v>
      </c>
      <c r="I25" s="324">
        <v>23</v>
      </c>
      <c r="J25" s="324" t="s">
        <v>349</v>
      </c>
      <c r="K25" s="324"/>
      <c r="L25" s="541" t="s">
        <v>302</v>
      </c>
      <c r="M25" s="542">
        <v>23</v>
      </c>
      <c r="N25" s="543" t="s">
        <v>347</v>
      </c>
      <c r="O25" s="543"/>
      <c r="P25" s="544" t="s">
        <v>302</v>
      </c>
      <c r="Q25" s="324">
        <v>23</v>
      </c>
      <c r="R25" s="324" t="s">
        <v>350</v>
      </c>
      <c r="S25" s="324"/>
      <c r="T25" s="541" t="s">
        <v>302</v>
      </c>
      <c r="U25" s="540">
        <v>23</v>
      </c>
      <c r="V25" s="324" t="s">
        <v>349</v>
      </c>
      <c r="W25" s="324"/>
      <c r="X25" s="541" t="s">
        <v>302</v>
      </c>
    </row>
    <row r="26" spans="1:24">
      <c r="A26" s="324">
        <v>24</v>
      </c>
      <c r="B26" s="324" t="s">
        <v>348</v>
      </c>
      <c r="C26" s="324"/>
      <c r="D26" s="541">
        <v>8.7142857142857135</v>
      </c>
      <c r="E26" s="540">
        <v>24</v>
      </c>
      <c r="F26" s="324" t="s">
        <v>350</v>
      </c>
      <c r="G26" s="324"/>
      <c r="H26" s="541" t="s">
        <v>302</v>
      </c>
      <c r="I26" s="324">
        <v>24</v>
      </c>
      <c r="J26" s="324" t="s">
        <v>351</v>
      </c>
      <c r="K26" s="324"/>
      <c r="L26" s="541" t="s">
        <v>302</v>
      </c>
      <c r="M26" s="542">
        <v>24</v>
      </c>
      <c r="N26" s="543" t="s">
        <v>352</v>
      </c>
      <c r="O26" s="543"/>
      <c r="P26" s="544" t="s">
        <v>302</v>
      </c>
      <c r="Q26" s="324">
        <v>24</v>
      </c>
      <c r="R26" s="324" t="s">
        <v>346</v>
      </c>
      <c r="S26" s="324"/>
      <c r="T26" s="541" t="s">
        <v>302</v>
      </c>
      <c r="U26" s="540">
        <v>24</v>
      </c>
      <c r="V26" s="324" t="s">
        <v>351</v>
      </c>
      <c r="W26" s="324"/>
      <c r="X26" s="541" t="s">
        <v>302</v>
      </c>
    </row>
    <row r="27" spans="1:24">
      <c r="A27" s="324">
        <v>25</v>
      </c>
      <c r="B27" s="324" t="s">
        <v>350</v>
      </c>
      <c r="C27" s="324"/>
      <c r="D27" s="541" t="s">
        <v>302</v>
      </c>
      <c r="E27" s="540">
        <v>25</v>
      </c>
      <c r="F27" s="324" t="s">
        <v>346</v>
      </c>
      <c r="G27" s="324"/>
      <c r="H27" s="541" t="s">
        <v>302</v>
      </c>
      <c r="I27" s="543">
        <v>25</v>
      </c>
      <c r="J27" s="543" t="s">
        <v>347</v>
      </c>
      <c r="K27" s="543"/>
      <c r="L27" s="544" t="s">
        <v>302</v>
      </c>
      <c r="M27" s="540">
        <v>25</v>
      </c>
      <c r="N27" s="324" t="s">
        <v>348</v>
      </c>
      <c r="O27" s="324"/>
      <c r="P27" s="541">
        <v>21.714285714285715</v>
      </c>
      <c r="Q27" s="324">
        <v>25</v>
      </c>
      <c r="R27" s="324" t="s">
        <v>349</v>
      </c>
      <c r="S27" s="324"/>
      <c r="T27" s="541" t="s">
        <v>302</v>
      </c>
      <c r="U27" s="542">
        <v>25</v>
      </c>
      <c r="V27" s="543" t="s">
        <v>347</v>
      </c>
      <c r="W27" s="543"/>
      <c r="X27" s="544" t="s">
        <v>302</v>
      </c>
    </row>
    <row r="28" spans="1:24">
      <c r="A28" s="324">
        <v>26</v>
      </c>
      <c r="B28" s="324" t="s">
        <v>346</v>
      </c>
      <c r="C28" s="324"/>
      <c r="D28" s="541" t="s">
        <v>302</v>
      </c>
      <c r="E28" s="540">
        <v>26</v>
      </c>
      <c r="F28" s="324" t="s">
        <v>349</v>
      </c>
      <c r="G28" s="324"/>
      <c r="H28" s="541" t="s">
        <v>302</v>
      </c>
      <c r="I28" s="543">
        <v>26</v>
      </c>
      <c r="J28" s="543" t="s">
        <v>352</v>
      </c>
      <c r="K28" s="543"/>
      <c r="L28" s="544" t="s">
        <v>302</v>
      </c>
      <c r="M28" s="540">
        <v>26</v>
      </c>
      <c r="N28" s="324" t="s">
        <v>350</v>
      </c>
      <c r="O28" s="324"/>
      <c r="P28" s="541" t="s">
        <v>302</v>
      </c>
      <c r="Q28" s="324">
        <v>26</v>
      </c>
      <c r="R28" s="324" t="s">
        <v>351</v>
      </c>
      <c r="S28" s="324"/>
      <c r="T28" s="541" t="s">
        <v>302</v>
      </c>
      <c r="U28" s="542">
        <v>26</v>
      </c>
      <c r="V28" s="543" t="s">
        <v>352</v>
      </c>
      <c r="W28" s="543"/>
      <c r="X28" s="544" t="s">
        <v>302</v>
      </c>
    </row>
    <row r="29" spans="1:24">
      <c r="A29" s="324">
        <v>27</v>
      </c>
      <c r="B29" s="324" t="s">
        <v>349</v>
      </c>
      <c r="C29" s="324"/>
      <c r="D29" s="541" t="s">
        <v>302</v>
      </c>
      <c r="E29" s="540">
        <v>27</v>
      </c>
      <c r="F29" s="324" t="s">
        <v>351</v>
      </c>
      <c r="G29" s="324"/>
      <c r="H29" s="541" t="s">
        <v>302</v>
      </c>
      <c r="I29" s="324">
        <v>27</v>
      </c>
      <c r="J29" s="324" t="s">
        <v>348</v>
      </c>
      <c r="K29" s="324"/>
      <c r="L29" s="541">
        <v>17.714285714285715</v>
      </c>
      <c r="M29" s="540">
        <v>27</v>
      </c>
      <c r="N29" s="324" t="s">
        <v>346</v>
      </c>
      <c r="O29" s="324"/>
      <c r="P29" s="541" t="s">
        <v>302</v>
      </c>
      <c r="Q29" s="543">
        <v>27</v>
      </c>
      <c r="R29" s="543" t="s">
        <v>347</v>
      </c>
      <c r="S29" s="543"/>
      <c r="T29" s="544" t="s">
        <v>302</v>
      </c>
      <c r="U29" s="540">
        <v>27</v>
      </c>
      <c r="V29" s="324" t="s">
        <v>348</v>
      </c>
      <c r="W29" s="324"/>
      <c r="X29" s="541">
        <v>30.714285714285715</v>
      </c>
    </row>
    <row r="30" spans="1:24">
      <c r="A30" s="324">
        <v>28</v>
      </c>
      <c r="B30" s="324" t="s">
        <v>351</v>
      </c>
      <c r="C30" s="324"/>
      <c r="D30" s="541" t="s">
        <v>302</v>
      </c>
      <c r="E30" s="542">
        <v>28</v>
      </c>
      <c r="F30" s="543" t="s">
        <v>347</v>
      </c>
      <c r="G30" s="543"/>
      <c r="H30" s="544" t="s">
        <v>302</v>
      </c>
      <c r="I30" s="324">
        <v>28</v>
      </c>
      <c r="J30" s="324" t="s">
        <v>350</v>
      </c>
      <c r="K30" s="324"/>
      <c r="L30" s="541" t="s">
        <v>302</v>
      </c>
      <c r="M30" s="540">
        <v>28</v>
      </c>
      <c r="N30" s="324" t="s">
        <v>349</v>
      </c>
      <c r="O30" s="324"/>
      <c r="P30" s="541" t="s">
        <v>302</v>
      </c>
      <c r="Q30" s="543">
        <v>28</v>
      </c>
      <c r="R30" s="543" t="s">
        <v>352</v>
      </c>
      <c r="S30" s="543"/>
      <c r="T30" s="544" t="s">
        <v>302</v>
      </c>
      <c r="U30" s="540">
        <v>28</v>
      </c>
      <c r="V30" s="324" t="s">
        <v>350</v>
      </c>
      <c r="W30" s="324"/>
      <c r="X30" s="541" t="s">
        <v>302</v>
      </c>
    </row>
    <row r="31" spans="1:24">
      <c r="A31" s="548">
        <v>29</v>
      </c>
      <c r="B31" s="548" t="s">
        <v>347</v>
      </c>
      <c r="C31" s="548"/>
      <c r="D31" s="549" t="s">
        <v>302</v>
      </c>
      <c r="E31" s="542">
        <v>29</v>
      </c>
      <c r="F31" s="543" t="s">
        <v>352</v>
      </c>
      <c r="G31" s="543"/>
      <c r="H31" s="544" t="s">
        <v>302</v>
      </c>
      <c r="I31" s="324">
        <v>29</v>
      </c>
      <c r="J31" s="324" t="s">
        <v>346</v>
      </c>
      <c r="K31" s="324"/>
      <c r="L31" s="541" t="s">
        <v>302</v>
      </c>
      <c r="M31" s="540">
        <v>29</v>
      </c>
      <c r="N31" s="324" t="s">
        <v>351</v>
      </c>
      <c r="O31" s="324"/>
      <c r="P31" s="541" t="s">
        <v>302</v>
      </c>
      <c r="Q31" s="324">
        <v>29</v>
      </c>
      <c r="R31" s="324" t="s">
        <v>348</v>
      </c>
      <c r="S31" s="324"/>
      <c r="T31" s="541">
        <v>26.714285714285715</v>
      </c>
      <c r="U31" s="540">
        <v>29</v>
      </c>
      <c r="V31" s="324" t="s">
        <v>346</v>
      </c>
      <c r="W31" s="324"/>
      <c r="X31" s="541" t="s">
        <v>302</v>
      </c>
    </row>
    <row r="32" spans="1:24">
      <c r="E32" s="540">
        <v>30</v>
      </c>
      <c r="F32" s="324" t="s">
        <v>348</v>
      </c>
      <c r="G32" s="324"/>
      <c r="H32" s="541">
        <v>13.714285714285714</v>
      </c>
      <c r="I32" s="313">
        <v>30</v>
      </c>
      <c r="J32" s="313" t="s">
        <v>349</v>
      </c>
      <c r="K32" s="313"/>
      <c r="L32" s="546" t="s">
        <v>302</v>
      </c>
      <c r="M32" s="542">
        <v>30</v>
      </c>
      <c r="N32" s="543" t="s">
        <v>347</v>
      </c>
      <c r="O32" s="543"/>
      <c r="P32" s="544" t="s">
        <v>302</v>
      </c>
      <c r="Q32" s="313">
        <v>30</v>
      </c>
      <c r="R32" s="313" t="s">
        <v>350</v>
      </c>
      <c r="S32" s="313"/>
      <c r="T32" s="546" t="s">
        <v>302</v>
      </c>
      <c r="U32" s="540">
        <v>30</v>
      </c>
      <c r="V32" s="324" t="s">
        <v>349</v>
      </c>
      <c r="W32" s="324"/>
      <c r="X32" s="541" t="s">
        <v>302</v>
      </c>
    </row>
    <row r="33" spans="5:24">
      <c r="E33" s="545">
        <v>31</v>
      </c>
      <c r="F33" s="313" t="s">
        <v>350</v>
      </c>
      <c r="G33" s="313"/>
      <c r="H33" s="546" t="s">
        <v>302</v>
      </c>
      <c r="M33" s="547">
        <v>31</v>
      </c>
      <c r="N33" s="548" t="s">
        <v>352</v>
      </c>
      <c r="O33" s="548"/>
      <c r="P33" s="549" t="s">
        <v>302</v>
      </c>
      <c r="U33" s="545">
        <v>31</v>
      </c>
      <c r="V33" s="313" t="s">
        <v>351</v>
      </c>
      <c r="W33" s="313"/>
      <c r="X33" s="546" t="s">
        <v>302</v>
      </c>
    </row>
  </sheetData>
  <mergeCells count="1">
    <mergeCell ref="A1:X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L95"/>
  <sheetViews>
    <sheetView showGridLines="0" tabSelected="1" showOutlineSymbols="0" topLeftCell="BD1" zoomScale="82" workbookViewId="0">
      <pane ySplit="4" topLeftCell="A5" activePane="bottomLeft" state="frozenSplit"/>
      <selection activeCell="F22" sqref="F22"/>
      <selection pane="bottomLeft" activeCell="BV14" sqref="BV14"/>
    </sheetView>
  </sheetViews>
  <sheetFormatPr baseColWidth="10" defaultColWidth="11.5" defaultRowHeight="13" outlineLevelCol="1"/>
  <cols>
    <col min="1" max="1" width="92.83203125" style="216" customWidth="1"/>
    <col min="2" max="2" width="3.33203125" style="216" customWidth="1"/>
    <col min="3" max="3" width="4.6640625" style="216" customWidth="1"/>
    <col min="4" max="4" width="9" style="216" customWidth="1"/>
    <col min="5" max="5" width="3.1640625" style="216" customWidth="1"/>
    <col min="6" max="6" width="32.83203125" style="216" customWidth="1" outlineLevel="1"/>
    <col min="7" max="7" width="15.5" style="216" customWidth="1" outlineLevel="1"/>
    <col min="8" max="8" width="11.83203125" style="216" customWidth="1" outlineLevel="1"/>
    <col min="9" max="9" width="3.33203125" style="216" customWidth="1"/>
    <col min="10" max="10" width="4.6640625" style="216" customWidth="1"/>
    <col min="11" max="11" width="9" style="216" customWidth="1"/>
    <col min="12" max="12" width="2.83203125" style="216" customWidth="1"/>
    <col min="13" max="13" width="32.83203125" style="216" customWidth="1" outlineLevel="1"/>
    <col min="14" max="14" width="15.5" style="216" customWidth="1" outlineLevel="1"/>
    <col min="15" max="15" width="11.83203125" style="216" customWidth="1" outlineLevel="1"/>
    <col min="16" max="16" width="3.33203125" style="216" customWidth="1"/>
    <col min="17" max="17" width="4.6640625" style="216" customWidth="1"/>
    <col min="18" max="18" width="9" style="216" customWidth="1"/>
    <col min="19" max="19" width="2.83203125" style="216" customWidth="1"/>
    <col min="20" max="20" width="32.6640625" style="216" customWidth="1" outlineLevel="1"/>
    <col min="21" max="21" width="15.5" style="216" customWidth="1" outlineLevel="1"/>
    <col min="22" max="22" width="11.83203125" style="216" customWidth="1" outlineLevel="1"/>
    <col min="23" max="23" width="3.33203125" style="216" customWidth="1"/>
    <col min="24" max="24" width="4.6640625" style="216" customWidth="1"/>
    <col min="25" max="25" width="9" style="216" customWidth="1"/>
    <col min="26" max="26" width="2.83203125" style="216" customWidth="1"/>
    <col min="27" max="27" width="32.83203125" style="216" customWidth="1" outlineLevel="1"/>
    <col min="28" max="28" width="15.5" style="216" customWidth="1" outlineLevel="1"/>
    <col min="29" max="29" width="11.83203125" style="216" customWidth="1" outlineLevel="1"/>
    <col min="30" max="30" width="3.33203125" style="216" customWidth="1"/>
    <col min="31" max="31" width="4.6640625" style="216" customWidth="1"/>
    <col min="32" max="32" width="9" style="216" customWidth="1"/>
    <col min="33" max="33" width="3.1640625" style="216" customWidth="1"/>
    <col min="34" max="34" width="32.6640625" style="216" customWidth="1" outlineLevel="1"/>
    <col min="35" max="35" width="15.5" style="216" customWidth="1" outlineLevel="1"/>
    <col min="36" max="36" width="11.83203125" style="216" customWidth="1" outlineLevel="1"/>
    <col min="37" max="37" width="3.33203125" style="216" customWidth="1"/>
    <col min="38" max="38" width="4.6640625" style="216" customWidth="1"/>
    <col min="39" max="39" width="9" style="216" customWidth="1"/>
    <col min="40" max="40" width="2.83203125" style="220" customWidth="1"/>
    <col min="41" max="41" width="32.83203125" style="216" customWidth="1" outlineLevel="1"/>
    <col min="42" max="42" width="15.5" style="216" customWidth="1" outlineLevel="1"/>
    <col min="43" max="43" width="11.83203125" style="216" customWidth="1" outlineLevel="1"/>
    <col min="44" max="44" width="3.33203125" style="216" customWidth="1"/>
    <col min="45" max="45" width="4.6640625" style="216" customWidth="1"/>
    <col min="46" max="46" width="9" style="216" customWidth="1"/>
    <col min="47" max="47" width="3.6640625" style="220" customWidth="1"/>
    <col min="48" max="48" width="32.6640625" style="216" customWidth="1" outlineLevel="1"/>
    <col min="49" max="49" width="15.5" style="216" customWidth="1" outlineLevel="1"/>
    <col min="50" max="50" width="11.83203125" style="216" customWidth="1" outlineLevel="1"/>
    <col min="51" max="51" width="3.33203125" style="216" customWidth="1"/>
    <col min="52" max="52" width="4.6640625" style="216" customWidth="1"/>
    <col min="53" max="53" width="9" style="216" customWidth="1"/>
    <col min="54" max="54" width="2.83203125" style="220" customWidth="1"/>
    <col min="55" max="55" width="32.6640625" style="216" customWidth="1" outlineLevel="1"/>
    <col min="56" max="56" width="15.5" style="216" customWidth="1" outlineLevel="1"/>
    <col min="57" max="57" width="11.83203125" style="216" customWidth="1" outlineLevel="1"/>
    <col min="58" max="58" width="3.33203125" style="216" customWidth="1"/>
    <col min="59" max="59" width="4.6640625" style="216" customWidth="1"/>
    <col min="60" max="60" width="9" style="216" customWidth="1"/>
    <col min="61" max="61" width="2.83203125" style="216" customWidth="1"/>
    <col min="62" max="62" width="32.6640625" style="216" customWidth="1" outlineLevel="1"/>
    <col min="63" max="63" width="15.5" style="216" customWidth="1" outlineLevel="1"/>
    <col min="64" max="64" width="11.83203125" style="216" customWidth="1" outlineLevel="1"/>
    <col min="65" max="65" width="3.33203125" style="216" customWidth="1"/>
    <col min="66" max="66" width="4.6640625" style="216" customWidth="1"/>
    <col min="67" max="67" width="9" style="216" customWidth="1"/>
    <col min="68" max="68" width="2.83203125" style="216" customWidth="1"/>
    <col min="69" max="69" width="32.6640625" style="216" customWidth="1" outlineLevel="1"/>
    <col min="70" max="70" width="15.5" style="216" customWidth="1" outlineLevel="1"/>
    <col min="71" max="71" width="11.83203125" style="216" customWidth="1" outlineLevel="1"/>
    <col min="72" max="72" width="3.33203125" style="216" customWidth="1"/>
    <col min="73" max="73" width="4.6640625" style="216" customWidth="1"/>
    <col min="74" max="74" width="9" style="216" customWidth="1"/>
    <col min="75" max="75" width="2.83203125" style="216" customWidth="1"/>
    <col min="76" max="76" width="32.6640625" style="216" customWidth="1" outlineLevel="1"/>
    <col min="77" max="77" width="15.5" style="216" customWidth="1" outlineLevel="1"/>
    <col min="78" max="78" width="11.83203125" style="216" customWidth="1" outlineLevel="1"/>
    <col min="79" max="79" width="3.33203125" style="216" customWidth="1"/>
    <col min="80" max="80" width="4.6640625" style="216" customWidth="1"/>
    <col min="81" max="81" width="9" style="216" customWidth="1"/>
    <col min="82" max="82" width="2.83203125" style="216" customWidth="1"/>
    <col min="83" max="83" width="32.6640625" style="216" customWidth="1" outlineLevel="1"/>
    <col min="84" max="84" width="15.5" style="216" customWidth="1" outlineLevel="1"/>
    <col min="85" max="85" width="11.83203125" style="216" customWidth="1" outlineLevel="1"/>
    <col min="86" max="86" width="1.6640625" style="221" customWidth="1" outlineLevel="1"/>
    <col min="87" max="87" width="19.83203125" style="216" customWidth="1"/>
    <col min="88" max="88" width="5.6640625" style="216" customWidth="1"/>
    <col min="89" max="16384" width="11.5" style="216"/>
  </cols>
  <sheetData>
    <row r="1" spans="1:90" s="229" customFormat="1" ht="15" customHeight="1">
      <c r="A1" s="497" t="s">
        <v>261</v>
      </c>
      <c r="B1" s="289" t="str">
        <f>"Månedsplan for "&amp;A1</f>
        <v>Månedsplan for Min egen skole</v>
      </c>
      <c r="I1" s="288" t="str">
        <f>$B$1</f>
        <v>Månedsplan for Min egen skole</v>
      </c>
      <c r="P1" s="288" t="str">
        <f>$B$1</f>
        <v>Månedsplan for Min egen skole</v>
      </c>
      <c r="W1" s="288" t="str">
        <f>$B$1</f>
        <v>Månedsplan for Min egen skole</v>
      </c>
      <c r="AD1" s="288" t="str">
        <f>$B$1</f>
        <v>Månedsplan for Min egen skole</v>
      </c>
      <c r="AK1" s="288" t="str">
        <f>$B$1</f>
        <v>Månedsplan for Min egen skole</v>
      </c>
      <c r="AR1" s="288" t="str">
        <f>$B$1</f>
        <v>Månedsplan for Min egen skole</v>
      </c>
      <c r="AY1" s="288" t="str">
        <f>$B$1</f>
        <v>Månedsplan for Min egen skole</v>
      </c>
      <c r="BF1" s="288" t="str">
        <f>$B$1</f>
        <v>Månedsplan for Min egen skole</v>
      </c>
      <c r="BM1" s="288" t="str">
        <f>$B$1</f>
        <v>Månedsplan for Min egen skole</v>
      </c>
      <c r="BT1" s="288" t="str">
        <f>$B$1</f>
        <v>Månedsplan for Min egen skole</v>
      </c>
      <c r="CA1" s="288" t="str">
        <f>$B$1</f>
        <v>Månedsplan for Min egen skole</v>
      </c>
      <c r="CH1" s="237"/>
      <c r="CI1" s="253"/>
    </row>
    <row r="2" spans="1:90" s="229" customFormat="1" ht="15" customHeight="1">
      <c r="A2" s="392"/>
      <c r="B2" s="287">
        <v>8</v>
      </c>
      <c r="E2" s="287">
        <v>31</v>
      </c>
      <c r="I2" s="286">
        <v>9</v>
      </c>
      <c r="P2" s="286">
        <v>10</v>
      </c>
      <c r="W2" s="286">
        <v>11</v>
      </c>
      <c r="AD2" s="286">
        <v>12</v>
      </c>
      <c r="AK2" s="286">
        <v>1</v>
      </c>
      <c r="AR2" s="286">
        <v>2</v>
      </c>
      <c r="AY2" s="286">
        <v>3</v>
      </c>
      <c r="BF2" s="286">
        <v>4</v>
      </c>
      <c r="BM2" s="286">
        <v>5</v>
      </c>
      <c r="BT2" s="286">
        <v>6</v>
      </c>
      <c r="CA2" s="286">
        <v>7</v>
      </c>
      <c r="CH2" s="237"/>
      <c r="CI2" s="253"/>
    </row>
    <row r="3" spans="1:90" s="229" customFormat="1" ht="15" customHeight="1">
      <c r="A3" s="393">
        <v>2019</v>
      </c>
      <c r="B3" s="285">
        <f>A3</f>
        <v>2019</v>
      </c>
      <c r="C3" s="400"/>
      <c r="D3" s="283"/>
      <c r="E3" s="282"/>
      <c r="F3" s="597" t="s">
        <v>234</v>
      </c>
      <c r="G3" s="598"/>
      <c r="H3" s="599"/>
      <c r="I3" s="285">
        <f>B3</f>
        <v>2019</v>
      </c>
      <c r="J3" s="284"/>
      <c r="K3" s="283"/>
      <c r="L3" s="282"/>
      <c r="M3" s="597" t="s">
        <v>234</v>
      </c>
      <c r="N3" s="598"/>
      <c r="O3" s="599"/>
      <c r="P3" s="281">
        <f>I3</f>
        <v>2019</v>
      </c>
      <c r="Q3" s="280"/>
      <c r="R3" s="279"/>
      <c r="S3" s="278"/>
      <c r="T3" s="603" t="s">
        <v>234</v>
      </c>
      <c r="U3" s="604"/>
      <c r="V3" s="605"/>
      <c r="W3" s="281">
        <f>P3</f>
        <v>2019</v>
      </c>
      <c r="X3" s="280"/>
      <c r="Y3" s="279"/>
      <c r="Z3" s="278"/>
      <c r="AA3" s="603" t="s">
        <v>234</v>
      </c>
      <c r="AB3" s="604"/>
      <c r="AC3" s="605"/>
      <c r="AD3" s="281">
        <f>W3</f>
        <v>2019</v>
      </c>
      <c r="AE3" s="280"/>
      <c r="AF3" s="279"/>
      <c r="AG3" s="278"/>
      <c r="AH3" s="603" t="s">
        <v>234</v>
      </c>
      <c r="AI3" s="604"/>
      <c r="AJ3" s="605"/>
      <c r="AK3" s="281">
        <f>AD3+1</f>
        <v>2020</v>
      </c>
      <c r="AL3" s="280"/>
      <c r="AM3" s="279"/>
      <c r="AN3" s="278"/>
      <c r="AO3" s="429"/>
      <c r="AP3" s="277"/>
      <c r="AQ3" s="430"/>
      <c r="AR3" s="281">
        <f>$AK3</f>
        <v>2020</v>
      </c>
      <c r="AS3" s="280"/>
      <c r="AT3" s="279"/>
      <c r="AU3" s="278"/>
      <c r="AV3" s="429"/>
      <c r="AW3" s="277"/>
      <c r="AX3" s="430"/>
      <c r="AY3" s="281">
        <f>$AK3</f>
        <v>2020</v>
      </c>
      <c r="AZ3" s="280"/>
      <c r="BA3" s="279"/>
      <c r="BB3" s="278"/>
      <c r="BC3" s="429"/>
      <c r="BD3" s="277"/>
      <c r="BE3" s="430"/>
      <c r="BF3" s="281">
        <f>$AK3</f>
        <v>2020</v>
      </c>
      <c r="BG3" s="280"/>
      <c r="BH3" s="279"/>
      <c r="BI3" s="278"/>
      <c r="BJ3" s="429"/>
      <c r="BK3" s="277"/>
      <c r="BL3" s="430"/>
      <c r="BM3" s="281">
        <f>$AK3</f>
        <v>2020</v>
      </c>
      <c r="BN3" s="280"/>
      <c r="BO3" s="279"/>
      <c r="BP3" s="278"/>
      <c r="BQ3" s="429"/>
      <c r="BR3" s="277"/>
      <c r="BS3" s="430"/>
      <c r="BT3" s="281">
        <f>$AK3</f>
        <v>2020</v>
      </c>
      <c r="BU3" s="280"/>
      <c r="BV3" s="279"/>
      <c r="BW3" s="278"/>
      <c r="BX3" s="429"/>
      <c r="BY3" s="277"/>
      <c r="BZ3" s="430"/>
      <c r="CA3" s="281">
        <f>$AK3</f>
        <v>2020</v>
      </c>
      <c r="CB3" s="433"/>
      <c r="CC3" s="279"/>
      <c r="CD3" s="278"/>
      <c r="CE3" s="603" t="s">
        <v>234</v>
      </c>
      <c r="CF3" s="604"/>
      <c r="CG3" s="605"/>
      <c r="CH3" s="425"/>
      <c r="CI3" s="253"/>
    </row>
    <row r="4" spans="1:90" s="229" customFormat="1" ht="18">
      <c r="A4" s="394" t="s">
        <v>231</v>
      </c>
      <c r="B4" s="276" t="s">
        <v>156</v>
      </c>
      <c r="C4" s="401"/>
      <c r="D4" s="274"/>
      <c r="E4" s="273"/>
      <c r="F4" s="600"/>
      <c r="G4" s="601"/>
      <c r="H4" s="602"/>
      <c r="I4" s="276" t="s">
        <v>157</v>
      </c>
      <c r="J4" s="275"/>
      <c r="K4" s="274"/>
      <c r="L4" s="273"/>
      <c r="M4" s="600"/>
      <c r="N4" s="601"/>
      <c r="O4" s="602"/>
      <c r="P4" s="272" t="s">
        <v>158</v>
      </c>
      <c r="Q4" s="271"/>
      <c r="R4" s="270"/>
      <c r="S4" s="269"/>
      <c r="T4" s="606"/>
      <c r="U4" s="607"/>
      <c r="V4" s="608"/>
      <c r="W4" s="272" t="s">
        <v>159</v>
      </c>
      <c r="X4" s="271"/>
      <c r="Y4" s="270"/>
      <c r="Z4" s="269"/>
      <c r="AA4" s="606"/>
      <c r="AB4" s="607"/>
      <c r="AC4" s="608"/>
      <c r="AD4" s="272" t="s">
        <v>160</v>
      </c>
      <c r="AE4" s="271"/>
      <c r="AF4" s="270"/>
      <c r="AG4" s="269"/>
      <c r="AH4" s="606"/>
      <c r="AI4" s="607"/>
      <c r="AJ4" s="608"/>
      <c r="AK4" s="272" t="s">
        <v>161</v>
      </c>
      <c r="AL4" s="271"/>
      <c r="AM4" s="270"/>
      <c r="AN4" s="269"/>
      <c r="AO4" s="431" t="s">
        <v>234</v>
      </c>
      <c r="AP4" s="268"/>
      <c r="AQ4" s="432"/>
      <c r="AR4" s="272" t="s">
        <v>165</v>
      </c>
      <c r="AS4" s="271"/>
      <c r="AT4" s="270"/>
      <c r="AU4" s="269"/>
      <c r="AV4" s="431" t="s">
        <v>234</v>
      </c>
      <c r="AW4" s="268"/>
      <c r="AX4" s="432"/>
      <c r="AY4" s="272" t="s">
        <v>166</v>
      </c>
      <c r="AZ4" s="271"/>
      <c r="BA4" s="270"/>
      <c r="BB4" s="269"/>
      <c r="BC4" s="431" t="s">
        <v>234</v>
      </c>
      <c r="BD4" s="268"/>
      <c r="BE4" s="432"/>
      <c r="BF4" s="272" t="s">
        <v>167</v>
      </c>
      <c r="BG4" s="271"/>
      <c r="BH4" s="270"/>
      <c r="BI4" s="269"/>
      <c r="BJ4" s="431" t="s">
        <v>234</v>
      </c>
      <c r="BK4" s="268"/>
      <c r="BL4" s="432"/>
      <c r="BM4" s="272" t="s">
        <v>168</v>
      </c>
      <c r="BN4" s="271"/>
      <c r="BO4" s="270"/>
      <c r="BP4" s="269"/>
      <c r="BQ4" s="431" t="s">
        <v>234</v>
      </c>
      <c r="BR4" s="268"/>
      <c r="BS4" s="432"/>
      <c r="BT4" s="272" t="s">
        <v>169</v>
      </c>
      <c r="BU4" s="271"/>
      <c r="BV4" s="270"/>
      <c r="BW4" s="269"/>
      <c r="BX4" s="431" t="s">
        <v>234</v>
      </c>
      <c r="BY4" s="268"/>
      <c r="BZ4" s="432"/>
      <c r="CA4" s="272" t="s">
        <v>170</v>
      </c>
      <c r="CB4" s="434"/>
      <c r="CC4" s="270"/>
      <c r="CD4" s="269"/>
      <c r="CE4" s="606"/>
      <c r="CF4" s="607"/>
      <c r="CG4" s="608"/>
      <c r="CH4" s="425"/>
      <c r="CI4" s="253"/>
    </row>
    <row r="5" spans="1:90" ht="18" customHeight="1">
      <c r="A5" s="391" t="s">
        <v>233</v>
      </c>
      <c r="B5" s="396">
        <f>IF(ISNUMBER(B4),B4+1,1)</f>
        <v>1</v>
      </c>
      <c r="C5" s="397" t="str">
        <f>CHOOSE(MOD(WEEKDAY(DATE(B$3,B$2,B5)),7)+1,"lø","sø","ma","ti","on","to","fr",)</f>
        <v>to</v>
      </c>
      <c r="D5" s="398" t="s">
        <v>221</v>
      </c>
      <c r="E5" s="399" t="str">
        <f>IF(C5="ma",(DATE(B$3,B$2,B5)-DATE(B$3,1,1)+7)/7,"")</f>
        <v/>
      </c>
      <c r="F5" s="588" t="s">
        <v>224</v>
      </c>
      <c r="G5" s="589"/>
      <c r="H5" s="590"/>
      <c r="I5" s="396">
        <f>IF(ISNUMBER(I4),I4+1,1)</f>
        <v>1</v>
      </c>
      <c r="J5" s="397" t="str">
        <f>CHOOSE(MOD(WEEKDAY(DATE(I$3,I$2,I5)),7)+1,"lø","sø","ma","ti","on","to","fr",)</f>
        <v>sø</v>
      </c>
      <c r="K5" s="398" t="s">
        <v>240</v>
      </c>
      <c r="L5" s="399" t="str">
        <f>IF(J5="ma",(DATE(I$3,I$2,I5)-DATE(I$3,1,1)+7)/7,"")</f>
        <v/>
      </c>
      <c r="M5" s="588"/>
      <c r="N5" s="589"/>
      <c r="O5" s="590"/>
      <c r="P5" s="396">
        <f>IF(ISNUMBER(P4),P4+1,1)</f>
        <v>1</v>
      </c>
      <c r="Q5" s="397" t="str">
        <f>CHOOSE(MOD(WEEKDAY(DATE(P$3,P$2,P5)),7)+1,"lø","sø","ma","ti","on","to","fr",)</f>
        <v>ti</v>
      </c>
      <c r="R5" s="398" t="s">
        <v>229</v>
      </c>
      <c r="S5" s="399" t="str">
        <f>IF(Q5="ma",(DATE(P$3,P$2,P5)-DATE(P$3,1,1)+7)/7,"")</f>
        <v/>
      </c>
      <c r="T5" s="588"/>
      <c r="U5" s="589"/>
      <c r="V5" s="590"/>
      <c r="W5" s="396">
        <f>IF(ISNUMBER(W4),W4+1,1)</f>
        <v>1</v>
      </c>
      <c r="X5" s="397" t="str">
        <f>CHOOSE(MOD(WEEKDAY(DATE(W$3,W$2,W5)),7)+1,"lø","sø","ma","ti","on","to","fr",)</f>
        <v>fr</v>
      </c>
      <c r="Y5" s="398" t="s">
        <v>229</v>
      </c>
      <c r="Z5" s="399" t="str">
        <f>IF(X5="ma",(DATE(W$3,W$2,W5)-DATE(W$3,1,1)+7)/7,"")</f>
        <v/>
      </c>
      <c r="AA5" s="588"/>
      <c r="AB5" s="589"/>
      <c r="AC5" s="590"/>
      <c r="AD5" s="396">
        <f>IF(ISNUMBER(AD4),AD4+1,1)</f>
        <v>1</v>
      </c>
      <c r="AE5" s="397" t="str">
        <f>CHOOSE(MOD(WEEKDAY(DATE(AD$3,AD$2,AD5)),7)+1,"lø","sø","ma","ti","on","to","fr",)</f>
        <v>sø</v>
      </c>
      <c r="AF5" s="398" t="s">
        <v>240</v>
      </c>
      <c r="AG5" s="399" t="str">
        <f>IF(AE5="ma",(DATE(AD$3,AD$2,AD5)-DATE(AD$3,1,1)+7)/7,"")</f>
        <v/>
      </c>
      <c r="AH5" s="588"/>
      <c r="AI5" s="589"/>
      <c r="AJ5" s="590"/>
      <c r="AK5" s="396">
        <f>IF(ISNUMBER(AK4),AK4+1,1)</f>
        <v>1</v>
      </c>
      <c r="AL5" s="397" t="str">
        <f>CHOOSE(MOD(WEEKDAY(DATE(AK$3,AK$2,AK5)),7)+1,"lø","sø","ma","ti","on","to","fr",)</f>
        <v>on</v>
      </c>
      <c r="AM5" s="398" t="s">
        <v>241</v>
      </c>
      <c r="AN5" s="399" t="str">
        <f>IF(AL5="ma",(DATE(AK$3,AK$2,AK5)-DATE(AK$3,1,1)+7)/7,"")</f>
        <v/>
      </c>
      <c r="AO5" s="591" t="s">
        <v>301</v>
      </c>
      <c r="AP5" s="592"/>
      <c r="AQ5" s="593"/>
      <c r="AR5" s="396">
        <f>IF(ISNUMBER(AR4),AR4+1,1)</f>
        <v>1</v>
      </c>
      <c r="AS5" s="397" t="str">
        <f>CHOOSE(MOD(WEEKDAY(DATE(AR$3,AR$2,AR5)),7)+1,"lø","sø","ma","ti","on","to","fr",)</f>
        <v>lø</v>
      </c>
      <c r="AT5" s="398" t="s">
        <v>240</v>
      </c>
      <c r="AU5" s="399" t="str">
        <f>IF(AS5="ma",(DATE(AR$3,AR$2,AR5)-DATE(AR$3,1,1)+7)/7,"")</f>
        <v/>
      </c>
      <c r="AV5" s="588"/>
      <c r="AW5" s="589"/>
      <c r="AX5" s="590"/>
      <c r="AY5" s="396">
        <f>IF(ISNUMBER(AY4),AY4+1,1)</f>
        <v>1</v>
      </c>
      <c r="AZ5" s="397" t="str">
        <f>CHOOSE(MOD(WEEKDAY(DATE(AY$3,AY$2,AY5)),7)+1,"lø","sø","ma","ti","on","to","fr",)</f>
        <v>sø</v>
      </c>
      <c r="BA5" s="398" t="s">
        <v>240</v>
      </c>
      <c r="BB5" s="399" t="str">
        <f>IF(AZ5="ma",(DATE(AY$3,AY$2,AY5)-DATE(AY$3,1,1)+7)/7,"")</f>
        <v/>
      </c>
      <c r="BC5" s="588"/>
      <c r="BD5" s="589"/>
      <c r="BE5" s="590"/>
      <c r="BF5" s="396">
        <f>IF(ISNUMBER(BF4),BF4+1,1)</f>
        <v>1</v>
      </c>
      <c r="BG5" s="397" t="str">
        <f>CHOOSE(MOD(WEEKDAY(DATE(BF$3,BF$2,BF5)),7)+1,"lø","sø","ma","ti","on","to","fr",)</f>
        <v>on</v>
      </c>
      <c r="BH5" s="398" t="s">
        <v>229</v>
      </c>
      <c r="BI5" s="399" t="str">
        <f>IF(BG5="ma",(DATE(BF$3,BF$2,BF5)-DATE(BF$3,1,1)+7)/7,"")</f>
        <v/>
      </c>
      <c r="BJ5" s="588"/>
      <c r="BK5" s="589"/>
      <c r="BL5" s="590"/>
      <c r="BM5" s="396">
        <f>IF(ISNUMBER(BM4),BM4+1,1)</f>
        <v>1</v>
      </c>
      <c r="BN5" s="397" t="str">
        <f>CHOOSE(MOD(WEEKDAY(DATE(BM$3,BM$2,BM5)),7)+1,"lø","sø","ma","ti","on","to","fr",)</f>
        <v>fr</v>
      </c>
      <c r="BO5" s="398" t="s">
        <v>229</v>
      </c>
      <c r="BP5" s="399" t="str">
        <f>IF(BN5="ma",(DATE(BM$3,BM$2,BM5)-DATE(BM$3,1,1)+7)/7,"")</f>
        <v/>
      </c>
      <c r="BQ5" s="588"/>
      <c r="BR5" s="589"/>
      <c r="BS5" s="590"/>
      <c r="BT5" s="396">
        <f>IF(ISNUMBER(BT4),BT4+1,1)</f>
        <v>1</v>
      </c>
      <c r="BU5" s="397" t="str">
        <f>CHOOSE(MOD(WEEKDAY(DATE(BT$3,BT$2,BT5)),7)+1,"lø","sø","ma","ti","on","to","fr",)</f>
        <v>ma</v>
      </c>
      <c r="BV5" s="398" t="s">
        <v>241</v>
      </c>
      <c r="BW5" s="399">
        <f>IF(BU5="ma",(DATE(BT$3,BT$2,BT5)-DATE(BT$3,1,1)+7)/7,"")</f>
        <v>22.714285714285715</v>
      </c>
      <c r="BX5" s="588" t="s">
        <v>344</v>
      </c>
      <c r="BY5" s="589"/>
      <c r="BZ5" s="590"/>
      <c r="CA5" s="396">
        <f>IF(ISNUMBER(CA4),CA4+1,1)</f>
        <v>1</v>
      </c>
      <c r="CB5" s="397" t="str">
        <f>CHOOSE(MOD(WEEKDAY(DATE(CA$3,CA$2,CA5)),7)+1,"lø","sø","ma","ti","on","to","fr",)</f>
        <v>on</v>
      </c>
      <c r="CC5" s="398" t="s">
        <v>268</v>
      </c>
      <c r="CD5" s="399" t="str">
        <f>IF(CB5="ma",(DATE(CA$3,CA$2,CA5)-DATE(CA$3,1,1)+7)/7,"")</f>
        <v/>
      </c>
      <c r="CE5" s="609"/>
      <c r="CF5" s="610"/>
      <c r="CG5" s="611"/>
      <c r="CH5" s="426"/>
      <c r="CI5" s="428"/>
      <c r="CJ5" s="255"/>
      <c r="CK5" s="255"/>
      <c r="CL5" s="255"/>
    </row>
    <row r="6" spans="1:90" ht="18" customHeight="1">
      <c r="A6" s="583" t="s">
        <v>400</v>
      </c>
      <c r="B6" s="396">
        <f t="shared" ref="B6:B34" si="0">IF(ISNUMBER(B5),B5+1,1)</f>
        <v>2</v>
      </c>
      <c r="C6" s="397" t="str">
        <f t="shared" ref="C6:C34" si="1">CHOOSE(MOD(WEEKDAY(DATE(B$3,B$2,B6)),7)+1,"lø","sø","ma","ti","on","to","fr",)</f>
        <v>fr</v>
      </c>
      <c r="D6" s="398" t="s">
        <v>221</v>
      </c>
      <c r="E6" s="399" t="str">
        <f t="shared" ref="E6:E34" si="2">IF(C6="ma",(DATE(B$3,B$2,B6)-DATE(B$3,1,1)+7)/7,"")</f>
        <v/>
      </c>
      <c r="F6" s="588" t="s">
        <v>224</v>
      </c>
      <c r="G6" s="589"/>
      <c r="H6" s="590"/>
      <c r="I6" s="396">
        <f t="shared" ref="I6:I34" si="3">IF(ISNUMBER(I5),I5+1,1)</f>
        <v>2</v>
      </c>
      <c r="J6" s="397" t="str">
        <f t="shared" ref="J6:J34" si="4">CHOOSE(MOD(WEEKDAY(DATE(I$3,I$2,I6)),7)+1,"lø","sø","ma","ti","on","to","fr",)</f>
        <v>ma</v>
      </c>
      <c r="K6" s="398" t="s">
        <v>229</v>
      </c>
      <c r="L6" s="399">
        <f t="shared" ref="L6:L34" si="5">IF(J6="ma",(DATE(I$3,I$2,I6)-DATE(I$3,1,1)+7)/7,"")</f>
        <v>35.857142857142854</v>
      </c>
      <c r="M6" s="588"/>
      <c r="N6" s="589"/>
      <c r="O6" s="590"/>
      <c r="P6" s="396">
        <f t="shared" ref="P6:P34" si="6">IF(ISNUMBER(P5),P5+1,1)</f>
        <v>2</v>
      </c>
      <c r="Q6" s="397" t="str">
        <f t="shared" ref="Q6:Q34" si="7">CHOOSE(MOD(WEEKDAY(DATE(P$3,P$2,P6)),7)+1,"lø","sø","ma","ti","on","to","fr",)</f>
        <v>on</v>
      </c>
      <c r="R6" s="398" t="s">
        <v>229</v>
      </c>
      <c r="S6" s="399" t="str">
        <f t="shared" ref="S6:S34" si="8">IF(Q6="ma",(DATE(P$3,P$2,P6)-DATE(P$3,1,1)+7)/7,"")</f>
        <v/>
      </c>
      <c r="T6" s="588"/>
      <c r="U6" s="589"/>
      <c r="V6" s="590"/>
      <c r="W6" s="396">
        <f t="shared" ref="W6:W34" si="9">IF(ISNUMBER(W5),W5+1,1)</f>
        <v>2</v>
      </c>
      <c r="X6" s="397" t="str">
        <f t="shared" ref="X6:X34" si="10">CHOOSE(MOD(WEEKDAY(DATE(W$3,W$2,W6)),7)+1,"lø","sø","ma","ti","on","to","fr",)</f>
        <v>lø</v>
      </c>
      <c r="Y6" s="398" t="s">
        <v>240</v>
      </c>
      <c r="Z6" s="399" t="str">
        <f t="shared" ref="Z6:Z34" si="11">IF(X6="ma",(DATE(W$3,W$2,W6)-DATE(W$3,1,1)+7)/7,"")</f>
        <v/>
      </c>
      <c r="AA6" s="588"/>
      <c r="AB6" s="589"/>
      <c r="AC6" s="590"/>
      <c r="AD6" s="396">
        <f t="shared" ref="AD6:AD34" si="12">IF(ISNUMBER(AD5),AD5+1,1)</f>
        <v>2</v>
      </c>
      <c r="AE6" s="397" t="str">
        <f t="shared" ref="AE6:AE34" si="13">CHOOSE(MOD(WEEKDAY(DATE(AD$3,AD$2,AD6)),7)+1,"lø","sø","ma","ti","on","to","fr",)</f>
        <v>ma</v>
      </c>
      <c r="AF6" s="398" t="s">
        <v>229</v>
      </c>
      <c r="AG6" s="399">
        <f t="shared" ref="AG6:AG33" si="14">IF(AE6="ma",(DATE(AD$3,AD$2,AD6)-DATE(AD$3,1,1)+7)/7,"")</f>
        <v>48.857142857142854</v>
      </c>
      <c r="AH6" s="588"/>
      <c r="AI6" s="589"/>
      <c r="AJ6" s="590"/>
      <c r="AK6" s="396">
        <f t="shared" ref="AK6:AK34" si="15">IF(ISNUMBER(AK5),AK5+1,1)</f>
        <v>2</v>
      </c>
      <c r="AL6" s="397" t="str">
        <f t="shared" ref="AL6:AL34" si="16">CHOOSE(MOD(WEEKDAY(DATE(AK$3,AK$2,AK6)),7)+1,"lø","sø","ma","ti","on","to","fr",)</f>
        <v>to</v>
      </c>
      <c r="AM6" s="398" t="s">
        <v>268</v>
      </c>
      <c r="AN6" s="399" t="str">
        <f t="shared" ref="AN6:AN34" si="17">IF(AL6="ma",(DATE(AK$3,AK$2,AK6)-DATE(AK$3,1,1)+7)/7,"")</f>
        <v/>
      </c>
      <c r="AO6" s="591"/>
      <c r="AP6" s="592"/>
      <c r="AQ6" s="593"/>
      <c r="AR6" s="396">
        <f t="shared" ref="AR6:AR33" si="18">IF(ISNUMBER(AR5),AR5+1,1)</f>
        <v>2</v>
      </c>
      <c r="AS6" s="397" t="str">
        <f t="shared" ref="AS6:AS32" si="19">CHOOSE(MOD(WEEKDAY(DATE(AR$3,AR$2,AR6)),7)+1,"lø","sø","ma","ti","on","to","fr",)</f>
        <v>sø</v>
      </c>
      <c r="AT6" s="398" t="s">
        <v>240</v>
      </c>
      <c r="AU6" s="399" t="str">
        <f t="shared" ref="AU6:AU32" si="20">IF(AS6="ma",(DATE(AR$3,AR$2,AR6)-DATE(AR$3,1,1)+7)/7,"")</f>
        <v/>
      </c>
      <c r="AV6" s="588"/>
      <c r="AW6" s="589"/>
      <c r="AX6" s="590"/>
      <c r="AY6" s="396">
        <f t="shared" ref="AY6:AY34" si="21">IF(ISNUMBER(AY5),AY5+1,1)</f>
        <v>2</v>
      </c>
      <c r="AZ6" s="397" t="str">
        <f t="shared" ref="AZ6:AZ34" si="22">CHOOSE(MOD(WEEKDAY(DATE(AY$3,AY$2,AY6)),7)+1,"lø","sø","ma","ti","on","to","fr",)</f>
        <v>ma</v>
      </c>
      <c r="BA6" s="398" t="s">
        <v>229</v>
      </c>
      <c r="BB6" s="399">
        <f t="shared" ref="BB6:BB34" si="23">IF(AZ6="ma",(DATE(AY$3,AY$2,AY6)-DATE(AY$3,1,1)+7)/7,"")</f>
        <v>9.7142857142857135</v>
      </c>
      <c r="BC6" s="588"/>
      <c r="BD6" s="589"/>
      <c r="BE6" s="590"/>
      <c r="BF6" s="396">
        <f t="shared" ref="BF6:BF34" si="24">IF(ISNUMBER(BF5),BF5+1,1)</f>
        <v>2</v>
      </c>
      <c r="BG6" s="397" t="str">
        <f t="shared" ref="BG6:BG34" si="25">CHOOSE(MOD(WEEKDAY(DATE(BF$3,BF$2,BF6)),7)+1,"lø","sø","ma","ti","on","to","fr",)</f>
        <v>to</v>
      </c>
      <c r="BH6" s="398" t="s">
        <v>229</v>
      </c>
      <c r="BI6" s="399" t="str">
        <f t="shared" ref="BI6:BI34" si="26">IF(BG6="ma",(DATE(BF$3,BF$2,BF6)-DATE(BF$3,1,1)+7)/7,"")</f>
        <v/>
      </c>
      <c r="BJ6" s="588"/>
      <c r="BK6" s="589"/>
      <c r="BL6" s="590"/>
      <c r="BM6" s="396">
        <f t="shared" ref="BM6:BM34" si="27">IF(ISNUMBER(BM5),BM5+1,1)</f>
        <v>2</v>
      </c>
      <c r="BN6" s="397" t="str">
        <f t="shared" ref="BN6:BN34" si="28">CHOOSE(MOD(WEEKDAY(DATE(BM$3,BM$2,BM6)),7)+1,"lø","sø","ma","ti","on","to","fr",)</f>
        <v>lø</v>
      </c>
      <c r="BO6" s="398" t="s">
        <v>240</v>
      </c>
      <c r="BP6" s="399" t="str">
        <f t="shared" ref="BP6:BP34" si="29">IF(BN6="ma",(DATE(BM$3,BM$2,BM6)-DATE(BM$3,1,1)+7)/7,"")</f>
        <v/>
      </c>
      <c r="BQ6" s="588"/>
      <c r="BR6" s="589"/>
      <c r="BS6" s="590"/>
      <c r="BT6" s="396">
        <f t="shared" ref="BT6:BT34" si="30">IF(ISNUMBER(BT5),BT5+1,1)</f>
        <v>2</v>
      </c>
      <c r="BU6" s="397" t="str">
        <f t="shared" ref="BU6:BU34" si="31">CHOOSE(MOD(WEEKDAY(DATE(BT$3,BT$2,BT6)),7)+1,"lø","sø","ma","ti","on","to","fr",)</f>
        <v>ti</v>
      </c>
      <c r="BV6" s="398" t="s">
        <v>229</v>
      </c>
      <c r="BW6" s="399" t="str">
        <f t="shared" ref="BW6:BW34" si="32">IF(BU6="ma",(DATE(BT$3,BT$2,BT6)-DATE(BT$3,1,1)+7)/7,"")</f>
        <v/>
      </c>
      <c r="BX6" s="588"/>
      <c r="BY6" s="589"/>
      <c r="BZ6" s="590"/>
      <c r="CA6" s="396">
        <f t="shared" ref="CA6:CA34" si="33">IF(ISNUMBER(CA5),CA5+1,1)</f>
        <v>2</v>
      </c>
      <c r="CB6" s="397" t="str">
        <f t="shared" ref="CB6:CB34" si="34">CHOOSE(MOD(WEEKDAY(DATE(CA$3,CA$2,CA6)),7)+1,"lø","sø","ma","ti","on","to","fr",)</f>
        <v>to</v>
      </c>
      <c r="CC6" s="398" t="s">
        <v>268</v>
      </c>
      <c r="CD6" s="399" t="str">
        <f>IF(CB6="ma",(DATE(CA$3,CA$2,CA6)-DATE(CA$3,1,1)+7)/7,"")</f>
        <v/>
      </c>
      <c r="CE6" s="609"/>
      <c r="CF6" s="610"/>
      <c r="CG6" s="611"/>
      <c r="CH6" s="426"/>
      <c r="CI6" s="428"/>
      <c r="CJ6" s="255"/>
      <c r="CK6" s="255"/>
      <c r="CL6" s="255"/>
    </row>
    <row r="7" spans="1:90" ht="18" customHeight="1">
      <c r="A7" s="583"/>
      <c r="B7" s="396">
        <f t="shared" si="0"/>
        <v>3</v>
      </c>
      <c r="C7" s="397" t="str">
        <f t="shared" si="1"/>
        <v>lø</v>
      </c>
      <c r="D7" s="398" t="s">
        <v>240</v>
      </c>
      <c r="E7" s="399" t="str">
        <f t="shared" si="2"/>
        <v/>
      </c>
      <c r="F7" s="588"/>
      <c r="G7" s="589"/>
      <c r="H7" s="590"/>
      <c r="I7" s="396">
        <f t="shared" si="3"/>
        <v>3</v>
      </c>
      <c r="J7" s="397" t="str">
        <f t="shared" si="4"/>
        <v>ti</v>
      </c>
      <c r="K7" s="398" t="s">
        <v>229</v>
      </c>
      <c r="L7" s="399" t="str">
        <f t="shared" si="5"/>
        <v/>
      </c>
      <c r="M7" s="588"/>
      <c r="N7" s="589"/>
      <c r="O7" s="590"/>
      <c r="P7" s="396">
        <f t="shared" si="6"/>
        <v>3</v>
      </c>
      <c r="Q7" s="397" t="str">
        <f t="shared" si="7"/>
        <v>to</v>
      </c>
      <c r="R7" s="398" t="s">
        <v>229</v>
      </c>
      <c r="S7" s="399" t="str">
        <f t="shared" si="8"/>
        <v/>
      </c>
      <c r="T7" s="588"/>
      <c r="U7" s="589"/>
      <c r="V7" s="590"/>
      <c r="W7" s="396">
        <f t="shared" si="9"/>
        <v>3</v>
      </c>
      <c r="X7" s="397" t="str">
        <f t="shared" si="10"/>
        <v>sø</v>
      </c>
      <c r="Y7" s="398" t="s">
        <v>240</v>
      </c>
      <c r="Z7" s="399" t="str">
        <f t="shared" si="11"/>
        <v/>
      </c>
      <c r="AA7" s="588"/>
      <c r="AB7" s="589"/>
      <c r="AC7" s="590"/>
      <c r="AD7" s="396">
        <f t="shared" si="12"/>
        <v>3</v>
      </c>
      <c r="AE7" s="397" t="str">
        <f t="shared" si="13"/>
        <v>ti</v>
      </c>
      <c r="AF7" s="398" t="s">
        <v>229</v>
      </c>
      <c r="AG7" s="399" t="str">
        <f t="shared" si="14"/>
        <v/>
      </c>
      <c r="AH7" s="588"/>
      <c r="AI7" s="589"/>
      <c r="AJ7" s="590"/>
      <c r="AK7" s="396">
        <f t="shared" si="15"/>
        <v>3</v>
      </c>
      <c r="AL7" s="397" t="str">
        <f t="shared" si="16"/>
        <v>fr</v>
      </c>
      <c r="AM7" s="398" t="s">
        <v>268</v>
      </c>
      <c r="AN7" s="399" t="str">
        <f t="shared" si="17"/>
        <v/>
      </c>
      <c r="AO7" s="591"/>
      <c r="AP7" s="592"/>
      <c r="AQ7" s="593"/>
      <c r="AR7" s="396">
        <f t="shared" si="18"/>
        <v>3</v>
      </c>
      <c r="AS7" s="397" t="str">
        <f t="shared" si="19"/>
        <v>ma</v>
      </c>
      <c r="AT7" s="398" t="s">
        <v>229</v>
      </c>
      <c r="AU7" s="399">
        <f t="shared" si="20"/>
        <v>5.7142857142857144</v>
      </c>
      <c r="AV7" s="588"/>
      <c r="AW7" s="589"/>
      <c r="AX7" s="590"/>
      <c r="AY7" s="396">
        <f t="shared" si="21"/>
        <v>3</v>
      </c>
      <c r="AZ7" s="397" t="str">
        <f t="shared" si="22"/>
        <v>ti</v>
      </c>
      <c r="BA7" s="398" t="s">
        <v>229</v>
      </c>
      <c r="BB7" s="399" t="str">
        <f t="shared" si="23"/>
        <v/>
      </c>
      <c r="BC7" s="588"/>
      <c r="BD7" s="589"/>
      <c r="BE7" s="590"/>
      <c r="BF7" s="396">
        <f t="shared" si="24"/>
        <v>3</v>
      </c>
      <c r="BG7" s="397" t="str">
        <f t="shared" si="25"/>
        <v>fr</v>
      </c>
      <c r="BH7" s="398" t="s">
        <v>229</v>
      </c>
      <c r="BI7" s="399" t="str">
        <f t="shared" si="26"/>
        <v/>
      </c>
      <c r="BJ7" s="588"/>
      <c r="BK7" s="589"/>
      <c r="BL7" s="590"/>
      <c r="BM7" s="396">
        <f t="shared" si="27"/>
        <v>3</v>
      </c>
      <c r="BN7" s="397" t="str">
        <f t="shared" si="28"/>
        <v>sø</v>
      </c>
      <c r="BO7" s="398" t="s">
        <v>240</v>
      </c>
      <c r="BP7" s="399" t="str">
        <f t="shared" si="29"/>
        <v/>
      </c>
      <c r="BQ7" s="588"/>
      <c r="BR7" s="589"/>
      <c r="BS7" s="590"/>
      <c r="BT7" s="396">
        <f t="shared" si="30"/>
        <v>3</v>
      </c>
      <c r="BU7" s="397" t="str">
        <f t="shared" si="31"/>
        <v>on</v>
      </c>
      <c r="BV7" s="398" t="s">
        <v>229</v>
      </c>
      <c r="BW7" s="399" t="str">
        <f t="shared" si="32"/>
        <v/>
      </c>
      <c r="BX7" s="588"/>
      <c r="BY7" s="589"/>
      <c r="BZ7" s="590"/>
      <c r="CA7" s="396">
        <f t="shared" si="33"/>
        <v>3</v>
      </c>
      <c r="CB7" s="397" t="str">
        <f t="shared" si="34"/>
        <v>fr</v>
      </c>
      <c r="CC7" s="398" t="s">
        <v>268</v>
      </c>
      <c r="CD7" s="399" t="str">
        <f t="shared" ref="CD7:CD34" si="35">IF(CB7="ma",(DATE(CA$3,CA$2,CA7)-DATE(CA$3,1,1)+7)/7,"")</f>
        <v/>
      </c>
      <c r="CE7" s="609"/>
      <c r="CF7" s="610"/>
      <c r="CG7" s="611"/>
      <c r="CH7" s="426"/>
      <c r="CI7" s="428"/>
      <c r="CJ7" s="255"/>
      <c r="CK7" s="255"/>
      <c r="CL7" s="255"/>
    </row>
    <row r="8" spans="1:90" ht="18" customHeight="1">
      <c r="A8" s="583"/>
      <c r="B8" s="396">
        <f t="shared" si="0"/>
        <v>4</v>
      </c>
      <c r="C8" s="397" t="str">
        <f t="shared" si="1"/>
        <v>sø</v>
      </c>
      <c r="D8" s="398" t="s">
        <v>240</v>
      </c>
      <c r="E8" s="399" t="str">
        <f t="shared" si="2"/>
        <v/>
      </c>
      <c r="F8" s="588"/>
      <c r="G8" s="589"/>
      <c r="H8" s="590"/>
      <c r="I8" s="396">
        <f t="shared" si="3"/>
        <v>4</v>
      </c>
      <c r="J8" s="397" t="str">
        <f t="shared" si="4"/>
        <v>on</v>
      </c>
      <c r="K8" s="398" t="s">
        <v>229</v>
      </c>
      <c r="L8" s="399" t="str">
        <f t="shared" si="5"/>
        <v/>
      </c>
      <c r="M8" s="588"/>
      <c r="N8" s="589"/>
      <c r="O8" s="590"/>
      <c r="P8" s="396">
        <f t="shared" si="6"/>
        <v>4</v>
      </c>
      <c r="Q8" s="397" t="str">
        <f t="shared" si="7"/>
        <v>fr</v>
      </c>
      <c r="R8" s="398" t="s">
        <v>229</v>
      </c>
      <c r="S8" s="399" t="str">
        <f t="shared" si="8"/>
        <v/>
      </c>
      <c r="T8" s="588"/>
      <c r="U8" s="589"/>
      <c r="V8" s="590"/>
      <c r="W8" s="396">
        <f t="shared" si="9"/>
        <v>4</v>
      </c>
      <c r="X8" s="397" t="str">
        <f t="shared" si="10"/>
        <v>ma</v>
      </c>
      <c r="Y8" s="398" t="s">
        <v>229</v>
      </c>
      <c r="Z8" s="399">
        <f t="shared" si="11"/>
        <v>44.857142857142854</v>
      </c>
      <c r="AA8" s="588"/>
      <c r="AB8" s="589"/>
      <c r="AC8" s="590"/>
      <c r="AD8" s="396">
        <f t="shared" si="12"/>
        <v>4</v>
      </c>
      <c r="AE8" s="397" t="str">
        <f t="shared" si="13"/>
        <v>on</v>
      </c>
      <c r="AF8" s="398" t="s">
        <v>229</v>
      </c>
      <c r="AG8" s="399" t="str">
        <f t="shared" si="14"/>
        <v/>
      </c>
      <c r="AH8" s="588"/>
      <c r="AI8" s="589"/>
      <c r="AJ8" s="590"/>
      <c r="AK8" s="396">
        <f t="shared" si="15"/>
        <v>4</v>
      </c>
      <c r="AL8" s="397" t="str">
        <f t="shared" si="16"/>
        <v>lø</v>
      </c>
      <c r="AM8" s="398" t="s">
        <v>240</v>
      </c>
      <c r="AN8" s="399" t="str">
        <f t="shared" si="17"/>
        <v/>
      </c>
      <c r="AO8" s="591"/>
      <c r="AP8" s="592"/>
      <c r="AQ8" s="593"/>
      <c r="AR8" s="396">
        <f t="shared" si="18"/>
        <v>4</v>
      </c>
      <c r="AS8" s="397" t="str">
        <f t="shared" si="19"/>
        <v>ti</v>
      </c>
      <c r="AT8" s="398" t="s">
        <v>229</v>
      </c>
      <c r="AU8" s="399" t="str">
        <f t="shared" si="20"/>
        <v/>
      </c>
      <c r="AV8" s="588"/>
      <c r="AW8" s="589"/>
      <c r="AX8" s="590"/>
      <c r="AY8" s="396">
        <f t="shared" si="21"/>
        <v>4</v>
      </c>
      <c r="AZ8" s="397" t="str">
        <f t="shared" si="22"/>
        <v>on</v>
      </c>
      <c r="BA8" s="398" t="s">
        <v>229</v>
      </c>
      <c r="BB8" s="399" t="str">
        <f t="shared" si="23"/>
        <v/>
      </c>
      <c r="BC8" s="588"/>
      <c r="BD8" s="589"/>
      <c r="BE8" s="590"/>
      <c r="BF8" s="396">
        <f t="shared" si="24"/>
        <v>4</v>
      </c>
      <c r="BG8" s="397" t="str">
        <f t="shared" si="25"/>
        <v>lø</v>
      </c>
      <c r="BH8" s="398" t="s">
        <v>240</v>
      </c>
      <c r="BI8" s="399" t="str">
        <f t="shared" si="26"/>
        <v/>
      </c>
      <c r="BJ8" s="588"/>
      <c r="BK8" s="589"/>
      <c r="BL8" s="590"/>
      <c r="BM8" s="396">
        <f t="shared" si="27"/>
        <v>4</v>
      </c>
      <c r="BN8" s="397" t="str">
        <f t="shared" si="28"/>
        <v>ma</v>
      </c>
      <c r="BO8" s="398" t="s">
        <v>229</v>
      </c>
      <c r="BP8" s="399">
        <f t="shared" si="29"/>
        <v>18.714285714285715</v>
      </c>
      <c r="BQ8" s="588"/>
      <c r="BR8" s="589"/>
      <c r="BS8" s="590"/>
      <c r="BT8" s="396">
        <f t="shared" si="30"/>
        <v>4</v>
      </c>
      <c r="BU8" s="397" t="str">
        <f t="shared" si="31"/>
        <v>to</v>
      </c>
      <c r="BV8" s="398" t="s">
        <v>229</v>
      </c>
      <c r="BW8" s="399" t="str">
        <f t="shared" si="32"/>
        <v/>
      </c>
      <c r="BX8" s="588"/>
      <c r="BY8" s="589"/>
      <c r="BZ8" s="590"/>
      <c r="CA8" s="396">
        <f t="shared" si="33"/>
        <v>4</v>
      </c>
      <c r="CB8" s="397" t="str">
        <f t="shared" si="34"/>
        <v>lø</v>
      </c>
      <c r="CC8" s="398" t="s">
        <v>240</v>
      </c>
      <c r="CD8" s="399" t="str">
        <f t="shared" si="35"/>
        <v/>
      </c>
      <c r="CE8" s="609"/>
      <c r="CF8" s="610"/>
      <c r="CG8" s="611"/>
      <c r="CH8" s="426"/>
      <c r="CI8" s="428"/>
      <c r="CJ8" s="255"/>
      <c r="CK8" s="255"/>
      <c r="CL8" s="255"/>
    </row>
    <row r="9" spans="1:90" ht="18" customHeight="1">
      <c r="A9" s="583"/>
      <c r="B9" s="396">
        <f t="shared" si="0"/>
        <v>5</v>
      </c>
      <c r="C9" s="397" t="str">
        <f t="shared" si="1"/>
        <v>ma</v>
      </c>
      <c r="D9" s="398" t="s">
        <v>221</v>
      </c>
      <c r="E9" s="399">
        <f t="shared" si="2"/>
        <v>31.857142857142858</v>
      </c>
      <c r="F9" s="588" t="s">
        <v>224</v>
      </c>
      <c r="G9" s="589"/>
      <c r="H9" s="590"/>
      <c r="I9" s="396">
        <f t="shared" si="3"/>
        <v>5</v>
      </c>
      <c r="J9" s="397" t="str">
        <f t="shared" si="4"/>
        <v>to</v>
      </c>
      <c r="K9" s="398" t="s">
        <v>229</v>
      </c>
      <c r="L9" s="399" t="str">
        <f t="shared" si="5"/>
        <v/>
      </c>
      <c r="M9" s="588"/>
      <c r="N9" s="589"/>
      <c r="O9" s="590"/>
      <c r="P9" s="396">
        <f t="shared" si="6"/>
        <v>5</v>
      </c>
      <c r="Q9" s="397" t="str">
        <f t="shared" si="7"/>
        <v>lø</v>
      </c>
      <c r="R9" s="398" t="s">
        <v>240</v>
      </c>
      <c r="S9" s="399" t="str">
        <f t="shared" si="8"/>
        <v/>
      </c>
      <c r="T9" s="588"/>
      <c r="U9" s="589"/>
      <c r="V9" s="590"/>
      <c r="W9" s="396">
        <f t="shared" si="9"/>
        <v>5</v>
      </c>
      <c r="X9" s="397" t="str">
        <f t="shared" si="10"/>
        <v>ti</v>
      </c>
      <c r="Y9" s="398" t="s">
        <v>229</v>
      </c>
      <c r="Z9" s="399" t="str">
        <f t="shared" si="11"/>
        <v/>
      </c>
      <c r="AA9" s="588"/>
      <c r="AB9" s="589"/>
      <c r="AC9" s="590"/>
      <c r="AD9" s="396">
        <f t="shared" si="12"/>
        <v>5</v>
      </c>
      <c r="AE9" s="397" t="str">
        <f t="shared" si="13"/>
        <v>to</v>
      </c>
      <c r="AF9" s="398" t="s">
        <v>229</v>
      </c>
      <c r="AG9" s="399" t="str">
        <f t="shared" si="14"/>
        <v/>
      </c>
      <c r="AH9" s="588"/>
      <c r="AI9" s="589"/>
      <c r="AJ9" s="590"/>
      <c r="AK9" s="396">
        <f t="shared" si="15"/>
        <v>5</v>
      </c>
      <c r="AL9" s="397" t="str">
        <f t="shared" si="16"/>
        <v>sø</v>
      </c>
      <c r="AM9" s="398" t="s">
        <v>240</v>
      </c>
      <c r="AN9" s="399" t="str">
        <f t="shared" si="17"/>
        <v/>
      </c>
      <c r="AO9" s="591"/>
      <c r="AP9" s="592"/>
      <c r="AQ9" s="593"/>
      <c r="AR9" s="396">
        <f t="shared" si="18"/>
        <v>5</v>
      </c>
      <c r="AS9" s="397" t="str">
        <f t="shared" si="19"/>
        <v>on</v>
      </c>
      <c r="AT9" s="398" t="s">
        <v>229</v>
      </c>
      <c r="AU9" s="399" t="str">
        <f t="shared" si="20"/>
        <v/>
      </c>
      <c r="AV9" s="588"/>
      <c r="AW9" s="589"/>
      <c r="AX9" s="590"/>
      <c r="AY9" s="396">
        <f t="shared" si="21"/>
        <v>5</v>
      </c>
      <c r="AZ9" s="397" t="str">
        <f t="shared" si="22"/>
        <v>to</v>
      </c>
      <c r="BA9" s="398" t="s">
        <v>229</v>
      </c>
      <c r="BB9" s="399" t="str">
        <f t="shared" si="23"/>
        <v/>
      </c>
      <c r="BC9" s="588"/>
      <c r="BD9" s="589"/>
      <c r="BE9" s="590"/>
      <c r="BF9" s="396">
        <f t="shared" si="24"/>
        <v>5</v>
      </c>
      <c r="BG9" s="397" t="str">
        <f t="shared" si="25"/>
        <v>sø</v>
      </c>
      <c r="BH9" s="398" t="s">
        <v>240</v>
      </c>
      <c r="BI9" s="399" t="str">
        <f t="shared" si="26"/>
        <v/>
      </c>
      <c r="BJ9" s="588" t="s">
        <v>343</v>
      </c>
      <c r="BK9" s="589"/>
      <c r="BL9" s="590"/>
      <c r="BM9" s="396">
        <f t="shared" si="27"/>
        <v>5</v>
      </c>
      <c r="BN9" s="397" t="str">
        <f t="shared" si="28"/>
        <v>ti</v>
      </c>
      <c r="BO9" s="398" t="s">
        <v>229</v>
      </c>
      <c r="BP9" s="399" t="str">
        <f t="shared" si="29"/>
        <v/>
      </c>
      <c r="BQ9" s="588"/>
      <c r="BR9" s="589"/>
      <c r="BS9" s="590"/>
      <c r="BT9" s="396">
        <f t="shared" si="30"/>
        <v>5</v>
      </c>
      <c r="BU9" s="397" t="str">
        <f t="shared" si="31"/>
        <v>fr</v>
      </c>
      <c r="BV9" s="398" t="s">
        <v>229</v>
      </c>
      <c r="BW9" s="399" t="str">
        <f t="shared" si="32"/>
        <v/>
      </c>
      <c r="BX9" s="588" t="s">
        <v>303</v>
      </c>
      <c r="BY9" s="589"/>
      <c r="BZ9" s="590"/>
      <c r="CA9" s="396">
        <f t="shared" si="33"/>
        <v>5</v>
      </c>
      <c r="CB9" s="397" t="str">
        <f t="shared" si="34"/>
        <v>sø</v>
      </c>
      <c r="CC9" s="398" t="s">
        <v>240</v>
      </c>
      <c r="CD9" s="399" t="str">
        <f t="shared" si="35"/>
        <v/>
      </c>
      <c r="CE9" s="609"/>
      <c r="CF9" s="610"/>
      <c r="CG9" s="611"/>
      <c r="CH9" s="426"/>
      <c r="CI9" s="428"/>
      <c r="CJ9" s="255"/>
      <c r="CK9" s="255"/>
      <c r="CL9" s="255"/>
    </row>
    <row r="10" spans="1:90" ht="18" customHeight="1">
      <c r="A10" s="583"/>
      <c r="B10" s="396">
        <f t="shared" si="0"/>
        <v>6</v>
      </c>
      <c r="C10" s="397" t="str">
        <f t="shared" si="1"/>
        <v>ti</v>
      </c>
      <c r="D10" s="398" t="s">
        <v>221</v>
      </c>
      <c r="E10" s="399" t="str">
        <f t="shared" si="2"/>
        <v/>
      </c>
      <c r="F10" s="588" t="s">
        <v>224</v>
      </c>
      <c r="G10" s="589"/>
      <c r="H10" s="590"/>
      <c r="I10" s="396">
        <f t="shared" si="3"/>
        <v>6</v>
      </c>
      <c r="J10" s="397" t="str">
        <f t="shared" si="4"/>
        <v>fr</v>
      </c>
      <c r="K10" s="398" t="s">
        <v>229</v>
      </c>
      <c r="L10" s="399" t="str">
        <f t="shared" si="5"/>
        <v/>
      </c>
      <c r="M10" s="588"/>
      <c r="N10" s="589"/>
      <c r="O10" s="590"/>
      <c r="P10" s="396">
        <f t="shared" si="6"/>
        <v>6</v>
      </c>
      <c r="Q10" s="397" t="str">
        <f t="shared" si="7"/>
        <v>sø</v>
      </c>
      <c r="R10" s="398" t="s">
        <v>240</v>
      </c>
      <c r="S10" s="399" t="str">
        <f t="shared" si="8"/>
        <v/>
      </c>
      <c r="T10" s="588"/>
      <c r="U10" s="589"/>
      <c r="V10" s="590"/>
      <c r="W10" s="396">
        <f t="shared" si="9"/>
        <v>6</v>
      </c>
      <c r="X10" s="397" t="str">
        <f t="shared" si="10"/>
        <v>on</v>
      </c>
      <c r="Y10" s="398" t="s">
        <v>229</v>
      </c>
      <c r="Z10" s="399" t="str">
        <f t="shared" si="11"/>
        <v/>
      </c>
      <c r="AA10" s="588"/>
      <c r="AB10" s="589"/>
      <c r="AC10" s="590"/>
      <c r="AD10" s="396">
        <f t="shared" si="12"/>
        <v>6</v>
      </c>
      <c r="AE10" s="397" t="str">
        <f t="shared" si="13"/>
        <v>fr</v>
      </c>
      <c r="AF10" s="398" t="s">
        <v>229</v>
      </c>
      <c r="AG10" s="399" t="str">
        <f t="shared" si="14"/>
        <v/>
      </c>
      <c r="AH10" s="588"/>
      <c r="AI10" s="589"/>
      <c r="AJ10" s="590"/>
      <c r="AK10" s="396">
        <f t="shared" si="15"/>
        <v>6</v>
      </c>
      <c r="AL10" s="397" t="str">
        <f t="shared" si="16"/>
        <v>ma</v>
      </c>
      <c r="AM10" s="398" t="s">
        <v>229</v>
      </c>
      <c r="AN10" s="399">
        <f t="shared" si="17"/>
        <v>1.7142857142857142</v>
      </c>
      <c r="AO10" s="591"/>
      <c r="AP10" s="592"/>
      <c r="AQ10" s="593"/>
      <c r="AR10" s="396">
        <f t="shared" si="18"/>
        <v>6</v>
      </c>
      <c r="AS10" s="397" t="str">
        <f t="shared" si="19"/>
        <v>to</v>
      </c>
      <c r="AT10" s="398" t="s">
        <v>229</v>
      </c>
      <c r="AU10" s="399" t="str">
        <f t="shared" si="20"/>
        <v/>
      </c>
      <c r="AV10" s="588"/>
      <c r="AW10" s="589"/>
      <c r="AX10" s="590"/>
      <c r="AY10" s="396">
        <f t="shared" si="21"/>
        <v>6</v>
      </c>
      <c r="AZ10" s="397" t="str">
        <f t="shared" si="22"/>
        <v>fr</v>
      </c>
      <c r="BA10" s="398" t="s">
        <v>229</v>
      </c>
      <c r="BB10" s="399" t="str">
        <f t="shared" si="23"/>
        <v/>
      </c>
      <c r="BC10" s="588"/>
      <c r="BD10" s="589"/>
      <c r="BE10" s="590"/>
      <c r="BF10" s="396">
        <f t="shared" si="24"/>
        <v>6</v>
      </c>
      <c r="BG10" s="397" t="str">
        <f t="shared" si="25"/>
        <v>ma</v>
      </c>
      <c r="BH10" s="398" t="s">
        <v>342</v>
      </c>
      <c r="BI10" s="399">
        <f t="shared" si="26"/>
        <v>14.714285714285714</v>
      </c>
      <c r="BJ10" s="588"/>
      <c r="BK10" s="589"/>
      <c r="BL10" s="590"/>
      <c r="BM10" s="396">
        <f t="shared" si="27"/>
        <v>6</v>
      </c>
      <c r="BN10" s="397" t="str">
        <f t="shared" si="28"/>
        <v>on</v>
      </c>
      <c r="BO10" s="398" t="s">
        <v>229</v>
      </c>
      <c r="BP10" s="399" t="str">
        <f t="shared" si="29"/>
        <v/>
      </c>
      <c r="BQ10" s="588"/>
      <c r="BR10" s="589"/>
      <c r="BS10" s="590"/>
      <c r="BT10" s="396">
        <f t="shared" si="30"/>
        <v>6</v>
      </c>
      <c r="BU10" s="397" t="str">
        <f t="shared" si="31"/>
        <v>lø</v>
      </c>
      <c r="BV10" s="398" t="s">
        <v>240</v>
      </c>
      <c r="BW10" s="399" t="str">
        <f t="shared" si="32"/>
        <v/>
      </c>
      <c r="BX10" s="588"/>
      <c r="BY10" s="589"/>
      <c r="BZ10" s="590"/>
      <c r="CA10" s="396">
        <f t="shared" si="33"/>
        <v>6</v>
      </c>
      <c r="CB10" s="397" t="str">
        <f t="shared" si="34"/>
        <v>ma</v>
      </c>
      <c r="CC10" s="398" t="s">
        <v>268</v>
      </c>
      <c r="CD10" s="399">
        <f t="shared" si="35"/>
        <v>27.714285714285715</v>
      </c>
      <c r="CE10" s="609"/>
      <c r="CF10" s="610"/>
      <c r="CG10" s="611"/>
      <c r="CH10" s="426"/>
      <c r="CI10" s="428"/>
      <c r="CJ10" s="255"/>
      <c r="CK10" s="255"/>
      <c r="CL10" s="255"/>
    </row>
    <row r="11" spans="1:90" ht="18" customHeight="1">
      <c r="A11" s="583"/>
      <c r="B11" s="396">
        <f t="shared" si="0"/>
        <v>7</v>
      </c>
      <c r="C11" s="397" t="str">
        <f t="shared" si="1"/>
        <v>on</v>
      </c>
      <c r="D11" s="398" t="s">
        <v>221</v>
      </c>
      <c r="E11" s="399" t="str">
        <f t="shared" si="2"/>
        <v/>
      </c>
      <c r="F11" s="588" t="s">
        <v>224</v>
      </c>
      <c r="G11" s="589"/>
      <c r="H11" s="590"/>
      <c r="I11" s="396">
        <f t="shared" si="3"/>
        <v>7</v>
      </c>
      <c r="J11" s="397" t="str">
        <f t="shared" si="4"/>
        <v>lø</v>
      </c>
      <c r="K11" s="398" t="s">
        <v>240</v>
      </c>
      <c r="L11" s="399" t="str">
        <f t="shared" si="5"/>
        <v/>
      </c>
      <c r="M11" s="588"/>
      <c r="N11" s="589"/>
      <c r="O11" s="590"/>
      <c r="P11" s="396">
        <f t="shared" si="6"/>
        <v>7</v>
      </c>
      <c r="Q11" s="397" t="str">
        <f t="shared" si="7"/>
        <v>ma</v>
      </c>
      <c r="R11" s="398" t="s">
        <v>229</v>
      </c>
      <c r="S11" s="399">
        <f t="shared" si="8"/>
        <v>40.857142857142854</v>
      </c>
      <c r="T11" s="588"/>
      <c r="U11" s="589"/>
      <c r="V11" s="590"/>
      <c r="W11" s="396">
        <f t="shared" si="9"/>
        <v>7</v>
      </c>
      <c r="X11" s="397" t="str">
        <f t="shared" si="10"/>
        <v>to</v>
      </c>
      <c r="Y11" s="398" t="s">
        <v>229</v>
      </c>
      <c r="Z11" s="399" t="str">
        <f t="shared" si="11"/>
        <v/>
      </c>
      <c r="AA11" s="588"/>
      <c r="AB11" s="589"/>
      <c r="AC11" s="590"/>
      <c r="AD11" s="396">
        <f t="shared" si="12"/>
        <v>7</v>
      </c>
      <c r="AE11" s="397" t="str">
        <f t="shared" si="13"/>
        <v>lø</v>
      </c>
      <c r="AF11" s="398" t="s">
        <v>240</v>
      </c>
      <c r="AG11" s="399" t="str">
        <f t="shared" si="14"/>
        <v/>
      </c>
      <c r="AH11" s="588"/>
      <c r="AI11" s="589"/>
      <c r="AJ11" s="590"/>
      <c r="AK11" s="396">
        <f t="shared" si="15"/>
        <v>7</v>
      </c>
      <c r="AL11" s="397" t="str">
        <f t="shared" si="16"/>
        <v>ti</v>
      </c>
      <c r="AM11" s="398" t="s">
        <v>229</v>
      </c>
      <c r="AN11" s="399" t="str">
        <f t="shared" si="17"/>
        <v/>
      </c>
      <c r="AO11" s="591"/>
      <c r="AP11" s="592"/>
      <c r="AQ11" s="593"/>
      <c r="AR11" s="396">
        <f t="shared" si="18"/>
        <v>7</v>
      </c>
      <c r="AS11" s="397" t="str">
        <f t="shared" si="19"/>
        <v>fr</v>
      </c>
      <c r="AT11" s="398" t="s">
        <v>229</v>
      </c>
      <c r="AU11" s="399" t="str">
        <f t="shared" si="20"/>
        <v/>
      </c>
      <c r="AV11" s="588"/>
      <c r="AW11" s="589"/>
      <c r="AX11" s="590"/>
      <c r="AY11" s="396">
        <f t="shared" si="21"/>
        <v>7</v>
      </c>
      <c r="AZ11" s="397" t="str">
        <f t="shared" si="22"/>
        <v>lø</v>
      </c>
      <c r="BA11" s="398" t="s">
        <v>240</v>
      </c>
      <c r="BB11" s="399" t="str">
        <f t="shared" si="23"/>
        <v/>
      </c>
      <c r="BC11" s="588"/>
      <c r="BD11" s="589"/>
      <c r="BE11" s="590"/>
      <c r="BF11" s="396">
        <f t="shared" si="24"/>
        <v>7</v>
      </c>
      <c r="BG11" s="397" t="str">
        <f t="shared" si="25"/>
        <v>ti</v>
      </c>
      <c r="BH11" s="398" t="s">
        <v>342</v>
      </c>
      <c r="BI11" s="399" t="str">
        <f t="shared" si="26"/>
        <v/>
      </c>
      <c r="BJ11" s="588"/>
      <c r="BK11" s="589"/>
      <c r="BL11" s="590"/>
      <c r="BM11" s="396">
        <f t="shared" si="27"/>
        <v>7</v>
      </c>
      <c r="BN11" s="397" t="str">
        <f t="shared" si="28"/>
        <v>to</v>
      </c>
      <c r="BO11" s="398" t="s">
        <v>229</v>
      </c>
      <c r="BP11" s="399" t="str">
        <f t="shared" si="29"/>
        <v/>
      </c>
      <c r="BQ11" s="588"/>
      <c r="BR11" s="589"/>
      <c r="BS11" s="590"/>
      <c r="BT11" s="396">
        <f t="shared" si="30"/>
        <v>7</v>
      </c>
      <c r="BU11" s="397" t="str">
        <f t="shared" si="31"/>
        <v>sø</v>
      </c>
      <c r="BV11" s="398" t="s">
        <v>240</v>
      </c>
      <c r="BW11" s="399" t="str">
        <f t="shared" si="32"/>
        <v/>
      </c>
      <c r="BX11" s="588"/>
      <c r="BY11" s="589"/>
      <c r="BZ11" s="590"/>
      <c r="CA11" s="396">
        <f t="shared" si="33"/>
        <v>7</v>
      </c>
      <c r="CB11" s="397" t="str">
        <f t="shared" si="34"/>
        <v>ti</v>
      </c>
      <c r="CC11" s="398" t="s">
        <v>268</v>
      </c>
      <c r="CD11" s="399" t="str">
        <f t="shared" si="35"/>
        <v/>
      </c>
      <c r="CE11" s="609"/>
      <c r="CF11" s="610"/>
      <c r="CG11" s="611"/>
      <c r="CH11" s="426"/>
      <c r="CI11" s="428"/>
      <c r="CJ11" s="255"/>
      <c r="CK11" s="255"/>
      <c r="CL11" s="255" t="s">
        <v>398</v>
      </c>
    </row>
    <row r="12" spans="1:90" ht="18" customHeight="1">
      <c r="A12" s="583"/>
      <c r="B12" s="396">
        <f t="shared" si="0"/>
        <v>8</v>
      </c>
      <c r="C12" s="397" t="str">
        <f t="shared" si="1"/>
        <v>to</v>
      </c>
      <c r="D12" s="398" t="s">
        <v>268</v>
      </c>
      <c r="E12" s="399" t="str">
        <f t="shared" si="2"/>
        <v/>
      </c>
      <c r="F12" s="588"/>
      <c r="G12" s="589"/>
      <c r="H12" s="590"/>
      <c r="I12" s="396">
        <f t="shared" si="3"/>
        <v>8</v>
      </c>
      <c r="J12" s="397" t="str">
        <f t="shared" si="4"/>
        <v>sø</v>
      </c>
      <c r="K12" s="398" t="s">
        <v>240</v>
      </c>
      <c r="L12" s="399" t="str">
        <f t="shared" si="5"/>
        <v/>
      </c>
      <c r="M12" s="588"/>
      <c r="N12" s="589"/>
      <c r="O12" s="590"/>
      <c r="P12" s="396">
        <f t="shared" si="6"/>
        <v>8</v>
      </c>
      <c r="Q12" s="397" t="str">
        <f t="shared" si="7"/>
        <v>ti</v>
      </c>
      <c r="R12" s="398" t="s">
        <v>229</v>
      </c>
      <c r="S12" s="399" t="str">
        <f t="shared" si="8"/>
        <v/>
      </c>
      <c r="T12" s="588"/>
      <c r="U12" s="589"/>
      <c r="V12" s="590"/>
      <c r="W12" s="396">
        <f t="shared" si="9"/>
        <v>8</v>
      </c>
      <c r="X12" s="397" t="str">
        <f t="shared" si="10"/>
        <v>fr</v>
      </c>
      <c r="Y12" s="398" t="s">
        <v>229</v>
      </c>
      <c r="Z12" s="399" t="str">
        <f t="shared" si="11"/>
        <v/>
      </c>
      <c r="AA12" s="588"/>
      <c r="AB12" s="589"/>
      <c r="AC12" s="590"/>
      <c r="AD12" s="396">
        <f t="shared" si="12"/>
        <v>8</v>
      </c>
      <c r="AE12" s="397" t="str">
        <f t="shared" si="13"/>
        <v>sø</v>
      </c>
      <c r="AF12" s="398" t="s">
        <v>240</v>
      </c>
      <c r="AG12" s="399" t="str">
        <f t="shared" si="14"/>
        <v/>
      </c>
      <c r="AH12" s="588"/>
      <c r="AI12" s="589"/>
      <c r="AJ12" s="590"/>
      <c r="AK12" s="396">
        <f t="shared" si="15"/>
        <v>8</v>
      </c>
      <c r="AL12" s="397" t="str">
        <f t="shared" si="16"/>
        <v>on</v>
      </c>
      <c r="AM12" s="398" t="s">
        <v>229</v>
      </c>
      <c r="AN12" s="399" t="str">
        <f t="shared" si="17"/>
        <v/>
      </c>
      <c r="AO12" s="591"/>
      <c r="AP12" s="592"/>
      <c r="AQ12" s="593"/>
      <c r="AR12" s="396">
        <f t="shared" si="18"/>
        <v>8</v>
      </c>
      <c r="AS12" s="397" t="str">
        <f t="shared" si="19"/>
        <v>lø</v>
      </c>
      <c r="AT12" s="398" t="s">
        <v>240</v>
      </c>
      <c r="AU12" s="399" t="str">
        <f t="shared" si="20"/>
        <v/>
      </c>
      <c r="AV12" s="588"/>
      <c r="AW12" s="589"/>
      <c r="AX12" s="590"/>
      <c r="AY12" s="396">
        <f t="shared" si="21"/>
        <v>8</v>
      </c>
      <c r="AZ12" s="397" t="str">
        <f t="shared" si="22"/>
        <v>sø</v>
      </c>
      <c r="BA12" s="398" t="s">
        <v>240</v>
      </c>
      <c r="BB12" s="399" t="str">
        <f t="shared" si="23"/>
        <v/>
      </c>
      <c r="BC12" s="588"/>
      <c r="BD12" s="589"/>
      <c r="BE12" s="590"/>
      <c r="BF12" s="396">
        <f t="shared" si="24"/>
        <v>8</v>
      </c>
      <c r="BG12" s="397" t="str">
        <f t="shared" si="25"/>
        <v>on</v>
      </c>
      <c r="BH12" s="398" t="s">
        <v>342</v>
      </c>
      <c r="BI12" s="399" t="str">
        <f t="shared" si="26"/>
        <v/>
      </c>
      <c r="BJ12" s="588"/>
      <c r="BK12" s="589"/>
      <c r="BL12" s="590"/>
      <c r="BM12" s="396">
        <f t="shared" si="27"/>
        <v>8</v>
      </c>
      <c r="BN12" s="397" t="str">
        <f t="shared" si="28"/>
        <v>fr</v>
      </c>
      <c r="BO12" s="398" t="s">
        <v>241</v>
      </c>
      <c r="BP12" s="399" t="str">
        <f t="shared" si="29"/>
        <v/>
      </c>
      <c r="BQ12" s="588" t="s">
        <v>402</v>
      </c>
      <c r="BR12" s="589"/>
      <c r="BS12" s="590"/>
      <c r="BT12" s="396">
        <f t="shared" si="30"/>
        <v>8</v>
      </c>
      <c r="BU12" s="397" t="str">
        <f t="shared" si="31"/>
        <v>ma</v>
      </c>
      <c r="BV12" s="398" t="s">
        <v>229</v>
      </c>
      <c r="BW12" s="399">
        <f t="shared" si="32"/>
        <v>23.714285714285715</v>
      </c>
      <c r="BX12" s="588"/>
      <c r="BY12" s="589"/>
      <c r="BZ12" s="590"/>
      <c r="CA12" s="396">
        <f t="shared" si="33"/>
        <v>8</v>
      </c>
      <c r="CB12" s="397" t="str">
        <f t="shared" si="34"/>
        <v>on</v>
      </c>
      <c r="CC12" s="398" t="s">
        <v>268</v>
      </c>
      <c r="CD12" s="399" t="str">
        <f t="shared" si="35"/>
        <v/>
      </c>
      <c r="CE12" s="609"/>
      <c r="CF12" s="610"/>
      <c r="CG12" s="611"/>
      <c r="CH12" s="426"/>
      <c r="CI12" s="428"/>
      <c r="CJ12" s="255"/>
      <c r="CK12" s="255"/>
      <c r="CL12" s="255"/>
    </row>
    <row r="13" spans="1:90" ht="18" customHeight="1">
      <c r="A13" s="583"/>
      <c r="B13" s="396">
        <f t="shared" si="0"/>
        <v>9</v>
      </c>
      <c r="C13" s="397" t="str">
        <f t="shared" si="1"/>
        <v>fr</v>
      </c>
      <c r="D13" s="398" t="s">
        <v>268</v>
      </c>
      <c r="E13" s="399" t="str">
        <f t="shared" si="2"/>
        <v/>
      </c>
      <c r="F13" s="588"/>
      <c r="G13" s="589"/>
      <c r="H13" s="590"/>
      <c r="I13" s="396">
        <f t="shared" si="3"/>
        <v>9</v>
      </c>
      <c r="J13" s="397" t="str">
        <f t="shared" si="4"/>
        <v>ma</v>
      </c>
      <c r="K13" s="398" t="s">
        <v>229</v>
      </c>
      <c r="L13" s="399">
        <f t="shared" si="5"/>
        <v>36.857142857142854</v>
      </c>
      <c r="M13" s="588"/>
      <c r="N13" s="589"/>
      <c r="O13" s="590"/>
      <c r="P13" s="396">
        <f t="shared" si="6"/>
        <v>9</v>
      </c>
      <c r="Q13" s="397" t="str">
        <f t="shared" si="7"/>
        <v>on</v>
      </c>
      <c r="R13" s="398" t="s">
        <v>229</v>
      </c>
      <c r="S13" s="399" t="str">
        <f t="shared" si="8"/>
        <v/>
      </c>
      <c r="T13" s="588"/>
      <c r="U13" s="589"/>
      <c r="V13" s="590"/>
      <c r="W13" s="396">
        <f t="shared" si="9"/>
        <v>9</v>
      </c>
      <c r="X13" s="397" t="str">
        <f t="shared" si="10"/>
        <v>lø</v>
      </c>
      <c r="Y13" s="398" t="s">
        <v>240</v>
      </c>
      <c r="Z13" s="399" t="str">
        <f t="shared" si="11"/>
        <v/>
      </c>
      <c r="AA13" s="588"/>
      <c r="AB13" s="589"/>
      <c r="AC13" s="590"/>
      <c r="AD13" s="396">
        <f t="shared" si="12"/>
        <v>9</v>
      </c>
      <c r="AE13" s="397" t="str">
        <f t="shared" si="13"/>
        <v>ma</v>
      </c>
      <c r="AF13" s="398" t="s">
        <v>229</v>
      </c>
      <c r="AG13" s="399">
        <f t="shared" si="14"/>
        <v>49.857142857142854</v>
      </c>
      <c r="AH13" s="588"/>
      <c r="AI13" s="589"/>
      <c r="AJ13" s="590"/>
      <c r="AK13" s="396">
        <f t="shared" si="15"/>
        <v>9</v>
      </c>
      <c r="AL13" s="397" t="str">
        <f t="shared" si="16"/>
        <v>to</v>
      </c>
      <c r="AM13" s="398" t="s">
        <v>229</v>
      </c>
      <c r="AN13" s="399" t="str">
        <f t="shared" si="17"/>
        <v/>
      </c>
      <c r="AO13" s="591"/>
      <c r="AP13" s="592"/>
      <c r="AQ13" s="593"/>
      <c r="AR13" s="396">
        <f t="shared" si="18"/>
        <v>9</v>
      </c>
      <c r="AS13" s="397" t="str">
        <f t="shared" si="19"/>
        <v>sø</v>
      </c>
      <c r="AT13" s="398" t="s">
        <v>240</v>
      </c>
      <c r="AU13" s="399" t="str">
        <f t="shared" si="20"/>
        <v/>
      </c>
      <c r="AV13" s="588"/>
      <c r="AW13" s="589"/>
      <c r="AX13" s="590"/>
      <c r="AY13" s="396">
        <f t="shared" si="21"/>
        <v>9</v>
      </c>
      <c r="AZ13" s="397" t="str">
        <f t="shared" si="22"/>
        <v>ma</v>
      </c>
      <c r="BA13" s="398" t="s">
        <v>229</v>
      </c>
      <c r="BB13" s="399">
        <f t="shared" si="23"/>
        <v>10.714285714285714</v>
      </c>
      <c r="BC13" s="588"/>
      <c r="BD13" s="589"/>
      <c r="BE13" s="590"/>
      <c r="BF13" s="396">
        <f t="shared" si="24"/>
        <v>9</v>
      </c>
      <c r="BG13" s="397" t="str">
        <f t="shared" si="25"/>
        <v>to</v>
      </c>
      <c r="BH13" s="398" t="s">
        <v>241</v>
      </c>
      <c r="BI13" s="399" t="str">
        <f t="shared" si="26"/>
        <v/>
      </c>
      <c r="BJ13" s="588" t="s">
        <v>171</v>
      </c>
      <c r="BK13" s="589"/>
      <c r="BL13" s="590"/>
      <c r="BM13" s="396">
        <f t="shared" si="27"/>
        <v>9</v>
      </c>
      <c r="BN13" s="397" t="str">
        <f t="shared" si="28"/>
        <v>lø</v>
      </c>
      <c r="BO13" s="398" t="s">
        <v>240</v>
      </c>
      <c r="BP13" s="399" t="str">
        <f t="shared" si="29"/>
        <v/>
      </c>
      <c r="BQ13" s="588"/>
      <c r="BR13" s="589"/>
      <c r="BS13" s="590"/>
      <c r="BT13" s="396">
        <f t="shared" si="30"/>
        <v>9</v>
      </c>
      <c r="BU13" s="397" t="str">
        <f t="shared" si="31"/>
        <v>ti</v>
      </c>
      <c r="BV13" s="398" t="s">
        <v>229</v>
      </c>
      <c r="BW13" s="399" t="str">
        <f t="shared" si="32"/>
        <v/>
      </c>
      <c r="BX13" s="588"/>
      <c r="BY13" s="589"/>
      <c r="BZ13" s="590"/>
      <c r="CA13" s="396">
        <f t="shared" si="33"/>
        <v>9</v>
      </c>
      <c r="CB13" s="397" t="str">
        <f t="shared" si="34"/>
        <v>to</v>
      </c>
      <c r="CC13" s="398" t="s">
        <v>268</v>
      </c>
      <c r="CD13" s="399" t="str">
        <f t="shared" si="35"/>
        <v/>
      </c>
      <c r="CE13" s="609" t="s">
        <v>396</v>
      </c>
      <c r="CF13" s="610"/>
      <c r="CG13" s="611"/>
      <c r="CH13" s="426"/>
      <c r="CI13" s="428"/>
      <c r="CJ13" s="255"/>
      <c r="CK13" s="255"/>
      <c r="CL13" s="255"/>
    </row>
    <row r="14" spans="1:90" ht="18" customHeight="1">
      <c r="A14" s="583"/>
      <c r="B14" s="396">
        <f t="shared" si="0"/>
        <v>10</v>
      </c>
      <c r="C14" s="397" t="str">
        <f t="shared" si="1"/>
        <v>lø</v>
      </c>
      <c r="D14" s="398" t="s">
        <v>240</v>
      </c>
      <c r="E14" s="399" t="str">
        <f t="shared" si="2"/>
        <v/>
      </c>
      <c r="F14" s="588"/>
      <c r="G14" s="589"/>
      <c r="H14" s="590"/>
      <c r="I14" s="396">
        <f t="shared" si="3"/>
        <v>10</v>
      </c>
      <c r="J14" s="397" t="str">
        <f t="shared" si="4"/>
        <v>ti</v>
      </c>
      <c r="K14" s="398" t="s">
        <v>229</v>
      </c>
      <c r="L14" s="399" t="str">
        <f t="shared" si="5"/>
        <v/>
      </c>
      <c r="M14" s="588"/>
      <c r="N14" s="589"/>
      <c r="O14" s="590"/>
      <c r="P14" s="396">
        <f t="shared" si="6"/>
        <v>10</v>
      </c>
      <c r="Q14" s="397" t="str">
        <f t="shared" si="7"/>
        <v>to</v>
      </c>
      <c r="R14" s="398" t="s">
        <v>229</v>
      </c>
      <c r="S14" s="399" t="str">
        <f t="shared" si="8"/>
        <v/>
      </c>
      <c r="T14" s="588"/>
      <c r="U14" s="589"/>
      <c r="V14" s="590"/>
      <c r="W14" s="396">
        <f t="shared" si="9"/>
        <v>10</v>
      </c>
      <c r="X14" s="397" t="str">
        <f t="shared" si="10"/>
        <v>sø</v>
      </c>
      <c r="Y14" s="398" t="s">
        <v>240</v>
      </c>
      <c r="Z14" s="399" t="str">
        <f t="shared" si="11"/>
        <v/>
      </c>
      <c r="AA14" s="588"/>
      <c r="AB14" s="589"/>
      <c r="AC14" s="590"/>
      <c r="AD14" s="396">
        <f t="shared" si="12"/>
        <v>10</v>
      </c>
      <c r="AE14" s="397" t="str">
        <f t="shared" si="13"/>
        <v>ti</v>
      </c>
      <c r="AF14" s="398" t="s">
        <v>229</v>
      </c>
      <c r="AG14" s="399" t="str">
        <f t="shared" si="14"/>
        <v/>
      </c>
      <c r="AH14" s="588"/>
      <c r="AI14" s="589"/>
      <c r="AJ14" s="590"/>
      <c r="AK14" s="396">
        <f t="shared" si="15"/>
        <v>10</v>
      </c>
      <c r="AL14" s="397" t="str">
        <f t="shared" si="16"/>
        <v>fr</v>
      </c>
      <c r="AM14" s="398" t="s">
        <v>229</v>
      </c>
      <c r="AN14" s="399" t="str">
        <f t="shared" si="17"/>
        <v/>
      </c>
      <c r="AO14" s="591"/>
      <c r="AP14" s="592"/>
      <c r="AQ14" s="593"/>
      <c r="AR14" s="396">
        <f t="shared" si="18"/>
        <v>10</v>
      </c>
      <c r="AS14" s="397" t="str">
        <f t="shared" si="19"/>
        <v>ma</v>
      </c>
      <c r="AT14" s="398" t="s">
        <v>268</v>
      </c>
      <c r="AU14" s="399">
        <f t="shared" si="20"/>
        <v>6.7142857142857144</v>
      </c>
      <c r="AV14" s="588" t="s">
        <v>271</v>
      </c>
      <c r="AW14" s="589"/>
      <c r="AX14" s="590"/>
      <c r="AY14" s="396">
        <f t="shared" si="21"/>
        <v>10</v>
      </c>
      <c r="AZ14" s="397" t="str">
        <f t="shared" si="22"/>
        <v>ti</v>
      </c>
      <c r="BA14" s="398" t="s">
        <v>229</v>
      </c>
      <c r="BB14" s="399" t="str">
        <f t="shared" si="23"/>
        <v/>
      </c>
      <c r="BC14" s="588"/>
      <c r="BD14" s="589"/>
      <c r="BE14" s="590"/>
      <c r="BF14" s="396">
        <f t="shared" si="24"/>
        <v>10</v>
      </c>
      <c r="BG14" s="397" t="str">
        <f t="shared" si="25"/>
        <v>fr</v>
      </c>
      <c r="BH14" s="398" t="s">
        <v>241</v>
      </c>
      <c r="BI14" s="399" t="str">
        <f t="shared" si="26"/>
        <v/>
      </c>
      <c r="BJ14" s="588" t="s">
        <v>365</v>
      </c>
      <c r="BK14" s="589"/>
      <c r="BL14" s="590"/>
      <c r="BM14" s="396">
        <f t="shared" si="27"/>
        <v>10</v>
      </c>
      <c r="BN14" s="397" t="str">
        <f t="shared" si="28"/>
        <v>sø</v>
      </c>
      <c r="BO14" s="398" t="s">
        <v>240</v>
      </c>
      <c r="BP14" s="399" t="str">
        <f t="shared" si="29"/>
        <v/>
      </c>
      <c r="BQ14" s="588"/>
      <c r="BR14" s="589"/>
      <c r="BS14" s="590"/>
      <c r="BT14" s="396">
        <f t="shared" si="30"/>
        <v>10</v>
      </c>
      <c r="BU14" s="397" t="str">
        <f t="shared" si="31"/>
        <v>on</v>
      </c>
      <c r="BV14" s="398" t="s">
        <v>229</v>
      </c>
      <c r="BW14" s="399" t="str">
        <f t="shared" si="32"/>
        <v/>
      </c>
      <c r="BX14" s="588"/>
      <c r="BY14" s="589"/>
      <c r="BZ14" s="590"/>
      <c r="CA14" s="396">
        <f t="shared" si="33"/>
        <v>10</v>
      </c>
      <c r="CB14" s="397" t="str">
        <f t="shared" si="34"/>
        <v>fr</v>
      </c>
      <c r="CC14" s="398" t="s">
        <v>221</v>
      </c>
      <c r="CD14" s="399" t="str">
        <f t="shared" si="35"/>
        <v/>
      </c>
      <c r="CE14" s="609" t="s">
        <v>224</v>
      </c>
      <c r="CF14" s="610"/>
      <c r="CG14" s="611"/>
      <c r="CH14" s="426"/>
      <c r="CI14" s="428"/>
      <c r="CJ14" s="255"/>
      <c r="CK14" s="255"/>
      <c r="CL14" s="255"/>
    </row>
    <row r="15" spans="1:90" ht="18" customHeight="1">
      <c r="A15" s="583"/>
      <c r="B15" s="396">
        <f t="shared" si="0"/>
        <v>11</v>
      </c>
      <c r="C15" s="397" t="str">
        <f t="shared" si="1"/>
        <v>sø</v>
      </c>
      <c r="D15" s="398" t="s">
        <v>240</v>
      </c>
      <c r="E15" s="399" t="str">
        <f t="shared" si="2"/>
        <v/>
      </c>
      <c r="F15" s="588"/>
      <c r="G15" s="589"/>
      <c r="H15" s="590"/>
      <c r="I15" s="396">
        <f t="shared" si="3"/>
        <v>11</v>
      </c>
      <c r="J15" s="397" t="str">
        <f t="shared" si="4"/>
        <v>on</v>
      </c>
      <c r="K15" s="398" t="s">
        <v>229</v>
      </c>
      <c r="L15" s="399" t="str">
        <f t="shared" si="5"/>
        <v/>
      </c>
      <c r="M15" s="588"/>
      <c r="N15" s="589"/>
      <c r="O15" s="590"/>
      <c r="P15" s="396">
        <f t="shared" si="6"/>
        <v>11</v>
      </c>
      <c r="Q15" s="397" t="str">
        <f t="shared" si="7"/>
        <v>fr</v>
      </c>
      <c r="R15" s="398" t="s">
        <v>229</v>
      </c>
      <c r="S15" s="399" t="str">
        <f t="shared" si="8"/>
        <v/>
      </c>
      <c r="T15" s="588"/>
      <c r="U15" s="589"/>
      <c r="V15" s="590"/>
      <c r="W15" s="396">
        <f t="shared" si="9"/>
        <v>11</v>
      </c>
      <c r="X15" s="397" t="str">
        <f t="shared" si="10"/>
        <v>ma</v>
      </c>
      <c r="Y15" s="398" t="s">
        <v>229</v>
      </c>
      <c r="Z15" s="399">
        <f t="shared" si="11"/>
        <v>45.857142857142854</v>
      </c>
      <c r="AA15" s="588"/>
      <c r="AB15" s="589"/>
      <c r="AC15" s="590"/>
      <c r="AD15" s="396">
        <f t="shared" si="12"/>
        <v>11</v>
      </c>
      <c r="AE15" s="397" t="str">
        <f t="shared" si="13"/>
        <v>on</v>
      </c>
      <c r="AF15" s="398" t="s">
        <v>229</v>
      </c>
      <c r="AG15" s="399" t="str">
        <f t="shared" si="14"/>
        <v/>
      </c>
      <c r="AH15" s="588"/>
      <c r="AI15" s="589"/>
      <c r="AJ15" s="590"/>
      <c r="AK15" s="396">
        <f t="shared" si="15"/>
        <v>11</v>
      </c>
      <c r="AL15" s="397" t="str">
        <f t="shared" si="16"/>
        <v>lø</v>
      </c>
      <c r="AM15" s="398" t="s">
        <v>240</v>
      </c>
      <c r="AN15" s="399" t="str">
        <f t="shared" si="17"/>
        <v/>
      </c>
      <c r="AO15" s="591"/>
      <c r="AP15" s="592"/>
      <c r="AQ15" s="593"/>
      <c r="AR15" s="396">
        <f t="shared" si="18"/>
        <v>11</v>
      </c>
      <c r="AS15" s="397" t="str">
        <f t="shared" si="19"/>
        <v>ti</v>
      </c>
      <c r="AT15" s="398" t="s">
        <v>268</v>
      </c>
      <c r="AU15" s="399" t="str">
        <f t="shared" si="20"/>
        <v/>
      </c>
      <c r="AV15" s="588" t="s">
        <v>271</v>
      </c>
      <c r="AW15" s="589"/>
      <c r="AX15" s="590"/>
      <c r="AY15" s="396">
        <f t="shared" si="21"/>
        <v>11</v>
      </c>
      <c r="AZ15" s="397" t="str">
        <f t="shared" si="22"/>
        <v>on</v>
      </c>
      <c r="BA15" s="398" t="s">
        <v>229</v>
      </c>
      <c r="BB15" s="399" t="str">
        <f t="shared" si="23"/>
        <v/>
      </c>
      <c r="BC15" s="588"/>
      <c r="BD15" s="589"/>
      <c r="BE15" s="590"/>
      <c r="BF15" s="396">
        <f t="shared" si="24"/>
        <v>11</v>
      </c>
      <c r="BG15" s="397" t="str">
        <f t="shared" si="25"/>
        <v>lø</v>
      </c>
      <c r="BH15" s="398" t="s">
        <v>240</v>
      </c>
      <c r="BI15" s="399" t="str">
        <f t="shared" si="26"/>
        <v/>
      </c>
      <c r="BJ15" s="588"/>
      <c r="BK15" s="589"/>
      <c r="BL15" s="590"/>
      <c r="BM15" s="396">
        <f t="shared" si="27"/>
        <v>11</v>
      </c>
      <c r="BN15" s="397" t="str">
        <f t="shared" si="28"/>
        <v>ma</v>
      </c>
      <c r="BO15" s="398" t="s">
        <v>229</v>
      </c>
      <c r="BP15" s="399">
        <f t="shared" si="29"/>
        <v>19.714285714285715</v>
      </c>
      <c r="BQ15" s="588"/>
      <c r="BR15" s="589"/>
      <c r="BS15" s="590"/>
      <c r="BT15" s="396">
        <f t="shared" si="30"/>
        <v>11</v>
      </c>
      <c r="BU15" s="397" t="str">
        <f t="shared" si="31"/>
        <v>to</v>
      </c>
      <c r="BV15" s="398" t="s">
        <v>229</v>
      </c>
      <c r="BW15" s="399" t="str">
        <f t="shared" si="32"/>
        <v/>
      </c>
      <c r="BX15" s="588"/>
      <c r="BY15" s="589"/>
      <c r="BZ15" s="590"/>
      <c r="CA15" s="396">
        <f t="shared" si="33"/>
        <v>11</v>
      </c>
      <c r="CB15" s="397" t="str">
        <f t="shared" si="34"/>
        <v>lø</v>
      </c>
      <c r="CC15" s="398" t="s">
        <v>240</v>
      </c>
      <c r="CD15" s="399" t="str">
        <f t="shared" si="35"/>
        <v/>
      </c>
      <c r="CE15" s="609"/>
      <c r="CF15" s="610"/>
      <c r="CG15" s="611"/>
      <c r="CH15" s="426"/>
      <c r="CI15" s="428"/>
      <c r="CJ15" s="255"/>
      <c r="CK15" s="255"/>
      <c r="CL15" s="255"/>
    </row>
    <row r="16" spans="1:90" ht="19" customHeight="1">
      <c r="A16" s="583"/>
      <c r="B16" s="396">
        <f t="shared" si="0"/>
        <v>12</v>
      </c>
      <c r="C16" s="397" t="str">
        <f t="shared" si="1"/>
        <v>ma</v>
      </c>
      <c r="D16" s="398" t="s">
        <v>229</v>
      </c>
      <c r="E16" s="399">
        <f t="shared" si="2"/>
        <v>32.857142857142854</v>
      </c>
      <c r="F16" s="588"/>
      <c r="G16" s="589"/>
      <c r="H16" s="590"/>
      <c r="I16" s="396">
        <f t="shared" si="3"/>
        <v>12</v>
      </c>
      <c r="J16" s="397" t="str">
        <f t="shared" si="4"/>
        <v>to</v>
      </c>
      <c r="K16" s="398" t="s">
        <v>229</v>
      </c>
      <c r="L16" s="399" t="str">
        <f t="shared" si="5"/>
        <v/>
      </c>
      <c r="M16" s="588"/>
      <c r="N16" s="589"/>
      <c r="O16" s="590"/>
      <c r="P16" s="396">
        <f t="shared" si="6"/>
        <v>12</v>
      </c>
      <c r="Q16" s="397" t="str">
        <f t="shared" si="7"/>
        <v>lø</v>
      </c>
      <c r="R16" s="398" t="s">
        <v>240</v>
      </c>
      <c r="S16" s="399" t="str">
        <f t="shared" si="8"/>
        <v/>
      </c>
      <c r="T16" s="588"/>
      <c r="U16" s="589"/>
      <c r="V16" s="590"/>
      <c r="W16" s="396">
        <f t="shared" si="9"/>
        <v>12</v>
      </c>
      <c r="X16" s="397" t="str">
        <f t="shared" si="10"/>
        <v>ti</v>
      </c>
      <c r="Y16" s="398" t="s">
        <v>229</v>
      </c>
      <c r="Z16" s="399" t="str">
        <f t="shared" si="11"/>
        <v/>
      </c>
      <c r="AA16" s="588"/>
      <c r="AB16" s="589"/>
      <c r="AC16" s="590"/>
      <c r="AD16" s="396">
        <f t="shared" si="12"/>
        <v>12</v>
      </c>
      <c r="AE16" s="397" t="str">
        <f t="shared" si="13"/>
        <v>to</v>
      </c>
      <c r="AF16" s="398" t="s">
        <v>229</v>
      </c>
      <c r="AG16" s="399" t="str">
        <f t="shared" si="14"/>
        <v/>
      </c>
      <c r="AH16" s="588"/>
      <c r="AI16" s="589"/>
      <c r="AJ16" s="590"/>
      <c r="AK16" s="396">
        <f t="shared" si="15"/>
        <v>12</v>
      </c>
      <c r="AL16" s="397" t="str">
        <f t="shared" si="16"/>
        <v>sø</v>
      </c>
      <c r="AM16" s="398" t="s">
        <v>240</v>
      </c>
      <c r="AN16" s="399" t="str">
        <f t="shared" si="17"/>
        <v/>
      </c>
      <c r="AO16" s="591"/>
      <c r="AP16" s="592"/>
      <c r="AQ16" s="593"/>
      <c r="AR16" s="396">
        <f t="shared" si="18"/>
        <v>12</v>
      </c>
      <c r="AS16" s="397" t="str">
        <f t="shared" si="19"/>
        <v>on</v>
      </c>
      <c r="AT16" s="398" t="s">
        <v>268</v>
      </c>
      <c r="AU16" s="399" t="str">
        <f t="shared" si="20"/>
        <v/>
      </c>
      <c r="AV16" s="588" t="s">
        <v>271</v>
      </c>
      <c r="AW16" s="589"/>
      <c r="AX16" s="590"/>
      <c r="AY16" s="396">
        <f t="shared" si="21"/>
        <v>12</v>
      </c>
      <c r="AZ16" s="397" t="str">
        <f t="shared" si="22"/>
        <v>to</v>
      </c>
      <c r="BA16" s="398" t="s">
        <v>229</v>
      </c>
      <c r="BB16" s="399" t="str">
        <f t="shared" si="23"/>
        <v/>
      </c>
      <c r="BC16" s="588"/>
      <c r="BD16" s="589"/>
      <c r="BE16" s="590"/>
      <c r="BF16" s="396">
        <f t="shared" si="24"/>
        <v>12</v>
      </c>
      <c r="BG16" s="397" t="str">
        <f t="shared" si="25"/>
        <v>sø</v>
      </c>
      <c r="BH16" s="398" t="s">
        <v>240</v>
      </c>
      <c r="BI16" s="399" t="str">
        <f t="shared" si="26"/>
        <v/>
      </c>
      <c r="BJ16" s="588" t="s">
        <v>232</v>
      </c>
      <c r="BK16" s="589"/>
      <c r="BL16" s="590"/>
      <c r="BM16" s="396">
        <f t="shared" si="27"/>
        <v>12</v>
      </c>
      <c r="BN16" s="397" t="str">
        <f t="shared" si="28"/>
        <v>ti</v>
      </c>
      <c r="BO16" s="398" t="s">
        <v>229</v>
      </c>
      <c r="BP16" s="399" t="str">
        <f t="shared" si="29"/>
        <v/>
      </c>
      <c r="BQ16" s="588"/>
      <c r="BR16" s="589"/>
      <c r="BS16" s="590"/>
      <c r="BT16" s="396">
        <f t="shared" si="30"/>
        <v>12</v>
      </c>
      <c r="BU16" s="397" t="str">
        <f t="shared" si="31"/>
        <v>fr</v>
      </c>
      <c r="BV16" s="398" t="s">
        <v>229</v>
      </c>
      <c r="BW16" s="399" t="str">
        <f t="shared" si="32"/>
        <v/>
      </c>
      <c r="BX16" s="588"/>
      <c r="BY16" s="589"/>
      <c r="BZ16" s="590"/>
      <c r="CA16" s="396">
        <f t="shared" si="33"/>
        <v>12</v>
      </c>
      <c r="CB16" s="397" t="str">
        <f t="shared" si="34"/>
        <v>sø</v>
      </c>
      <c r="CC16" s="398" t="s">
        <v>240</v>
      </c>
      <c r="CD16" s="399" t="str">
        <f t="shared" si="35"/>
        <v/>
      </c>
      <c r="CE16" s="609"/>
      <c r="CF16" s="610"/>
      <c r="CG16" s="611"/>
      <c r="CH16" s="426"/>
      <c r="CI16" s="428"/>
      <c r="CJ16" s="255"/>
      <c r="CK16" s="255"/>
      <c r="CL16" s="255"/>
    </row>
    <row r="17" spans="1:90" ht="18" customHeight="1">
      <c r="A17" s="583"/>
      <c r="B17" s="396">
        <f t="shared" si="0"/>
        <v>13</v>
      </c>
      <c r="C17" s="397" t="str">
        <f t="shared" si="1"/>
        <v>ti</v>
      </c>
      <c r="D17" s="398" t="s">
        <v>229</v>
      </c>
      <c r="E17" s="399" t="str">
        <f t="shared" si="2"/>
        <v/>
      </c>
      <c r="F17" s="588"/>
      <c r="G17" s="589"/>
      <c r="H17" s="590"/>
      <c r="I17" s="396">
        <f t="shared" si="3"/>
        <v>13</v>
      </c>
      <c r="J17" s="397" t="str">
        <f t="shared" si="4"/>
        <v>fr</v>
      </c>
      <c r="K17" s="398" t="s">
        <v>229</v>
      </c>
      <c r="L17" s="399" t="str">
        <f t="shared" si="5"/>
        <v/>
      </c>
      <c r="M17" s="588"/>
      <c r="N17" s="589"/>
      <c r="O17" s="590"/>
      <c r="P17" s="396">
        <f t="shared" si="6"/>
        <v>13</v>
      </c>
      <c r="Q17" s="397" t="str">
        <f t="shared" si="7"/>
        <v>sø</v>
      </c>
      <c r="R17" s="398" t="s">
        <v>240</v>
      </c>
      <c r="S17" s="399" t="str">
        <f t="shared" si="8"/>
        <v/>
      </c>
      <c r="T17" s="588"/>
      <c r="U17" s="589"/>
      <c r="V17" s="590"/>
      <c r="W17" s="396">
        <f t="shared" si="9"/>
        <v>13</v>
      </c>
      <c r="X17" s="397" t="str">
        <f t="shared" si="10"/>
        <v>on</v>
      </c>
      <c r="Y17" s="398" t="s">
        <v>229</v>
      </c>
      <c r="Z17" s="399" t="str">
        <f t="shared" si="11"/>
        <v/>
      </c>
      <c r="AA17" s="588"/>
      <c r="AB17" s="589"/>
      <c r="AC17" s="590"/>
      <c r="AD17" s="396">
        <f t="shared" si="12"/>
        <v>13</v>
      </c>
      <c r="AE17" s="397" t="str">
        <f t="shared" si="13"/>
        <v>fr</v>
      </c>
      <c r="AF17" s="398" t="s">
        <v>229</v>
      </c>
      <c r="AG17" s="399" t="str">
        <f t="shared" si="14"/>
        <v/>
      </c>
      <c r="AH17" s="588"/>
      <c r="AI17" s="589"/>
      <c r="AJ17" s="590"/>
      <c r="AK17" s="396">
        <f t="shared" si="15"/>
        <v>13</v>
      </c>
      <c r="AL17" s="397" t="str">
        <f t="shared" si="16"/>
        <v>ma</v>
      </c>
      <c r="AM17" s="398" t="s">
        <v>229</v>
      </c>
      <c r="AN17" s="399">
        <f t="shared" si="17"/>
        <v>2.7142857142857144</v>
      </c>
      <c r="AO17" s="591"/>
      <c r="AP17" s="592"/>
      <c r="AQ17" s="593"/>
      <c r="AR17" s="396">
        <f t="shared" si="18"/>
        <v>13</v>
      </c>
      <c r="AS17" s="397" t="str">
        <f t="shared" si="19"/>
        <v>to</v>
      </c>
      <c r="AT17" s="398" t="s">
        <v>268</v>
      </c>
      <c r="AU17" s="399" t="str">
        <f t="shared" si="20"/>
        <v/>
      </c>
      <c r="AV17" s="588" t="s">
        <v>271</v>
      </c>
      <c r="AW17" s="589"/>
      <c r="AX17" s="590"/>
      <c r="AY17" s="396">
        <f t="shared" si="21"/>
        <v>13</v>
      </c>
      <c r="AZ17" s="397" t="str">
        <f t="shared" si="22"/>
        <v>fr</v>
      </c>
      <c r="BA17" s="398" t="s">
        <v>229</v>
      </c>
      <c r="BB17" s="399" t="str">
        <f t="shared" si="23"/>
        <v/>
      </c>
      <c r="BC17" s="588"/>
      <c r="BD17" s="589"/>
      <c r="BE17" s="590"/>
      <c r="BF17" s="396">
        <f t="shared" si="24"/>
        <v>13</v>
      </c>
      <c r="BG17" s="397" t="str">
        <f t="shared" si="25"/>
        <v>ma</v>
      </c>
      <c r="BH17" s="398" t="s">
        <v>241</v>
      </c>
      <c r="BI17" s="399">
        <f t="shared" si="26"/>
        <v>15.714285714285714</v>
      </c>
      <c r="BJ17" s="588" t="s">
        <v>230</v>
      </c>
      <c r="BK17" s="589"/>
      <c r="BL17" s="590"/>
      <c r="BM17" s="396">
        <f t="shared" si="27"/>
        <v>13</v>
      </c>
      <c r="BN17" s="397" t="str">
        <f t="shared" si="28"/>
        <v>on</v>
      </c>
      <c r="BO17" s="398" t="s">
        <v>229</v>
      </c>
      <c r="BP17" s="399" t="str">
        <f t="shared" si="29"/>
        <v/>
      </c>
      <c r="BQ17" s="588"/>
      <c r="BR17" s="589"/>
      <c r="BS17" s="590"/>
      <c r="BT17" s="396">
        <f t="shared" si="30"/>
        <v>13</v>
      </c>
      <c r="BU17" s="397" t="str">
        <f t="shared" si="31"/>
        <v>lø</v>
      </c>
      <c r="BV17" s="398" t="s">
        <v>242</v>
      </c>
      <c r="BW17" s="399" t="str">
        <f t="shared" si="32"/>
        <v/>
      </c>
      <c r="BX17" s="588"/>
      <c r="BY17" s="589"/>
      <c r="BZ17" s="590"/>
      <c r="CA17" s="396">
        <f t="shared" si="33"/>
        <v>13</v>
      </c>
      <c r="CB17" s="397" t="str">
        <f t="shared" si="34"/>
        <v>ma</v>
      </c>
      <c r="CC17" s="398" t="s">
        <v>221</v>
      </c>
      <c r="CD17" s="399">
        <f t="shared" si="35"/>
        <v>28.714285714285715</v>
      </c>
      <c r="CE17" s="609" t="s">
        <v>224</v>
      </c>
      <c r="CF17" s="610"/>
      <c r="CG17" s="611"/>
      <c r="CH17" s="426"/>
      <c r="CI17" s="428"/>
      <c r="CJ17" s="255"/>
      <c r="CK17" s="255"/>
      <c r="CL17" s="255"/>
    </row>
    <row r="18" spans="1:90" ht="18" customHeight="1">
      <c r="A18" s="583"/>
      <c r="B18" s="396">
        <f t="shared" si="0"/>
        <v>14</v>
      </c>
      <c r="C18" s="397" t="str">
        <f t="shared" si="1"/>
        <v>on</v>
      </c>
      <c r="D18" s="398" t="s">
        <v>229</v>
      </c>
      <c r="E18" s="399" t="str">
        <f t="shared" si="2"/>
        <v/>
      </c>
      <c r="F18" s="588"/>
      <c r="G18" s="589"/>
      <c r="H18" s="590"/>
      <c r="I18" s="396">
        <f t="shared" si="3"/>
        <v>14</v>
      </c>
      <c r="J18" s="397" t="str">
        <f t="shared" si="4"/>
        <v>lø</v>
      </c>
      <c r="K18" s="398" t="s">
        <v>240</v>
      </c>
      <c r="L18" s="399" t="str">
        <f t="shared" si="5"/>
        <v/>
      </c>
      <c r="M18" s="588"/>
      <c r="N18" s="589"/>
      <c r="O18" s="590"/>
      <c r="P18" s="396">
        <f t="shared" si="6"/>
        <v>14</v>
      </c>
      <c r="Q18" s="397" t="str">
        <f t="shared" si="7"/>
        <v>ma</v>
      </c>
      <c r="R18" s="398" t="s">
        <v>342</v>
      </c>
      <c r="S18" s="399">
        <f t="shared" si="8"/>
        <v>41.857142857142854</v>
      </c>
      <c r="T18" s="588" t="s">
        <v>299</v>
      </c>
      <c r="U18" s="589"/>
      <c r="V18" s="590"/>
      <c r="W18" s="396">
        <f t="shared" si="9"/>
        <v>14</v>
      </c>
      <c r="X18" s="397" t="str">
        <f t="shared" si="10"/>
        <v>to</v>
      </c>
      <c r="Y18" s="398" t="s">
        <v>229</v>
      </c>
      <c r="Z18" s="399" t="str">
        <f t="shared" si="11"/>
        <v/>
      </c>
      <c r="AA18" s="588"/>
      <c r="AB18" s="589"/>
      <c r="AC18" s="590"/>
      <c r="AD18" s="396">
        <f t="shared" si="12"/>
        <v>14</v>
      </c>
      <c r="AE18" s="397" t="str">
        <f t="shared" si="13"/>
        <v>lø</v>
      </c>
      <c r="AF18" s="398" t="s">
        <v>240</v>
      </c>
      <c r="AG18" s="399" t="str">
        <f t="shared" si="14"/>
        <v/>
      </c>
      <c r="AH18" s="588"/>
      <c r="AI18" s="589"/>
      <c r="AJ18" s="590"/>
      <c r="AK18" s="396">
        <f t="shared" si="15"/>
        <v>14</v>
      </c>
      <c r="AL18" s="397" t="str">
        <f t="shared" si="16"/>
        <v>ti</v>
      </c>
      <c r="AM18" s="398" t="s">
        <v>229</v>
      </c>
      <c r="AN18" s="399" t="str">
        <f t="shared" si="17"/>
        <v/>
      </c>
      <c r="AO18" s="591"/>
      <c r="AP18" s="592"/>
      <c r="AQ18" s="593"/>
      <c r="AR18" s="396">
        <f t="shared" si="18"/>
        <v>14</v>
      </c>
      <c r="AS18" s="397" t="str">
        <f t="shared" si="19"/>
        <v>fr</v>
      </c>
      <c r="AT18" s="398" t="s">
        <v>268</v>
      </c>
      <c r="AU18" s="399" t="str">
        <f t="shared" si="20"/>
        <v/>
      </c>
      <c r="AV18" s="588" t="s">
        <v>271</v>
      </c>
      <c r="AW18" s="589"/>
      <c r="AX18" s="590"/>
      <c r="AY18" s="396">
        <f t="shared" si="21"/>
        <v>14</v>
      </c>
      <c r="AZ18" s="397" t="str">
        <f t="shared" si="22"/>
        <v>lø</v>
      </c>
      <c r="BA18" s="398" t="s">
        <v>240</v>
      </c>
      <c r="BB18" s="399" t="str">
        <f t="shared" si="23"/>
        <v/>
      </c>
      <c r="BC18" s="588"/>
      <c r="BD18" s="589"/>
      <c r="BE18" s="590"/>
      <c r="BF18" s="396">
        <f t="shared" si="24"/>
        <v>14</v>
      </c>
      <c r="BG18" s="397" t="str">
        <f t="shared" si="25"/>
        <v>ti</v>
      </c>
      <c r="BH18" s="398" t="s">
        <v>229</v>
      </c>
      <c r="BI18" s="399" t="str">
        <f t="shared" si="26"/>
        <v/>
      </c>
      <c r="BJ18" s="588"/>
      <c r="BK18" s="589"/>
      <c r="BL18" s="590"/>
      <c r="BM18" s="396">
        <f t="shared" si="27"/>
        <v>14</v>
      </c>
      <c r="BN18" s="397" t="str">
        <f t="shared" si="28"/>
        <v>to</v>
      </c>
      <c r="BO18" s="398" t="s">
        <v>229</v>
      </c>
      <c r="BP18" s="399" t="str">
        <f t="shared" si="29"/>
        <v/>
      </c>
      <c r="BQ18" s="588"/>
      <c r="BR18" s="589"/>
      <c r="BS18" s="590"/>
      <c r="BT18" s="396">
        <f t="shared" si="30"/>
        <v>14</v>
      </c>
      <c r="BU18" s="397" t="str">
        <f t="shared" si="31"/>
        <v>sø</v>
      </c>
      <c r="BV18" s="398" t="s">
        <v>242</v>
      </c>
      <c r="BW18" s="399" t="str">
        <f t="shared" si="32"/>
        <v/>
      </c>
      <c r="BX18" s="588"/>
      <c r="BY18" s="589"/>
      <c r="BZ18" s="590"/>
      <c r="CA18" s="396">
        <f t="shared" si="33"/>
        <v>14</v>
      </c>
      <c r="CB18" s="397" t="str">
        <f t="shared" si="34"/>
        <v>ti</v>
      </c>
      <c r="CC18" s="398" t="s">
        <v>221</v>
      </c>
      <c r="CD18" s="399" t="str">
        <f t="shared" si="35"/>
        <v/>
      </c>
      <c r="CE18" s="609" t="s">
        <v>224</v>
      </c>
      <c r="CF18" s="610"/>
      <c r="CG18" s="611"/>
      <c r="CH18" s="426"/>
      <c r="CI18" s="428"/>
      <c r="CJ18" s="255"/>
      <c r="CK18" s="255"/>
      <c r="CL18" s="255"/>
    </row>
    <row r="19" spans="1:90" ht="18" customHeight="1">
      <c r="A19" s="553"/>
      <c r="B19" s="396">
        <f t="shared" si="0"/>
        <v>15</v>
      </c>
      <c r="C19" s="397" t="str">
        <f t="shared" si="1"/>
        <v>to</v>
      </c>
      <c r="D19" s="398" t="s">
        <v>229</v>
      </c>
      <c r="E19" s="399" t="str">
        <f t="shared" si="2"/>
        <v/>
      </c>
      <c r="F19" s="588"/>
      <c r="G19" s="589"/>
      <c r="H19" s="590"/>
      <c r="I19" s="396">
        <f t="shared" si="3"/>
        <v>15</v>
      </c>
      <c r="J19" s="397" t="str">
        <f t="shared" si="4"/>
        <v>sø</v>
      </c>
      <c r="K19" s="398" t="s">
        <v>240</v>
      </c>
      <c r="L19" s="399" t="str">
        <f t="shared" si="5"/>
        <v/>
      </c>
      <c r="M19" s="588"/>
      <c r="N19" s="589"/>
      <c r="O19" s="590"/>
      <c r="P19" s="396">
        <f t="shared" si="6"/>
        <v>15</v>
      </c>
      <c r="Q19" s="397" t="str">
        <f t="shared" si="7"/>
        <v>ti</v>
      </c>
      <c r="R19" s="398" t="s">
        <v>268</v>
      </c>
      <c r="S19" s="399" t="str">
        <f t="shared" si="8"/>
        <v/>
      </c>
      <c r="T19" s="588" t="s">
        <v>299</v>
      </c>
      <c r="U19" s="589"/>
      <c r="V19" s="590"/>
      <c r="W19" s="396">
        <f t="shared" si="9"/>
        <v>15</v>
      </c>
      <c r="X19" s="397" t="str">
        <f t="shared" si="10"/>
        <v>fr</v>
      </c>
      <c r="Y19" s="398" t="s">
        <v>229</v>
      </c>
      <c r="Z19" s="399" t="str">
        <f t="shared" si="11"/>
        <v/>
      </c>
      <c r="AA19" s="588"/>
      <c r="AB19" s="589"/>
      <c r="AC19" s="590"/>
      <c r="AD19" s="396">
        <f t="shared" si="12"/>
        <v>15</v>
      </c>
      <c r="AE19" s="397" t="str">
        <f t="shared" si="13"/>
        <v>sø</v>
      </c>
      <c r="AF19" s="398" t="s">
        <v>240</v>
      </c>
      <c r="AG19" s="399" t="str">
        <f t="shared" si="14"/>
        <v/>
      </c>
      <c r="AH19" s="588"/>
      <c r="AI19" s="589"/>
      <c r="AJ19" s="590"/>
      <c r="AK19" s="396">
        <f t="shared" si="15"/>
        <v>15</v>
      </c>
      <c r="AL19" s="397" t="str">
        <f t="shared" si="16"/>
        <v>on</v>
      </c>
      <c r="AM19" s="398" t="s">
        <v>229</v>
      </c>
      <c r="AN19" s="399" t="str">
        <f t="shared" si="17"/>
        <v/>
      </c>
      <c r="AO19" s="591"/>
      <c r="AP19" s="592"/>
      <c r="AQ19" s="593"/>
      <c r="AR19" s="396">
        <f t="shared" si="18"/>
        <v>15</v>
      </c>
      <c r="AS19" s="397" t="str">
        <f t="shared" si="19"/>
        <v>lø</v>
      </c>
      <c r="AT19" s="398" t="s">
        <v>240</v>
      </c>
      <c r="AU19" s="399" t="str">
        <f t="shared" si="20"/>
        <v/>
      </c>
      <c r="AV19" s="588"/>
      <c r="AW19" s="589"/>
      <c r="AX19" s="590"/>
      <c r="AY19" s="396">
        <f t="shared" si="21"/>
        <v>15</v>
      </c>
      <c r="AZ19" s="397" t="str">
        <f t="shared" si="22"/>
        <v>sø</v>
      </c>
      <c r="BA19" s="398" t="s">
        <v>240</v>
      </c>
      <c r="BB19" s="399" t="str">
        <f t="shared" si="23"/>
        <v/>
      </c>
      <c r="BC19" s="588"/>
      <c r="BD19" s="589"/>
      <c r="BE19" s="590"/>
      <c r="BF19" s="396">
        <f t="shared" si="24"/>
        <v>15</v>
      </c>
      <c r="BG19" s="397" t="str">
        <f t="shared" si="25"/>
        <v>on</v>
      </c>
      <c r="BH19" s="398" t="s">
        <v>229</v>
      </c>
      <c r="BI19" s="399" t="str">
        <f t="shared" si="26"/>
        <v/>
      </c>
      <c r="BJ19" s="588"/>
      <c r="BK19" s="589"/>
      <c r="BL19" s="590"/>
      <c r="BM19" s="396">
        <f t="shared" si="27"/>
        <v>15</v>
      </c>
      <c r="BN19" s="397" t="str">
        <f t="shared" si="28"/>
        <v>fr</v>
      </c>
      <c r="BO19" s="398" t="s">
        <v>229</v>
      </c>
      <c r="BP19" s="399" t="str">
        <f t="shared" si="29"/>
        <v/>
      </c>
      <c r="BQ19" s="588"/>
      <c r="BR19" s="589"/>
      <c r="BS19" s="590"/>
      <c r="BT19" s="396">
        <f t="shared" si="30"/>
        <v>15</v>
      </c>
      <c r="BU19" s="397" t="str">
        <f t="shared" si="31"/>
        <v>ma</v>
      </c>
      <c r="BV19" s="398" t="s">
        <v>229</v>
      </c>
      <c r="BW19" s="399">
        <f t="shared" si="32"/>
        <v>24.714285714285715</v>
      </c>
      <c r="BX19" s="588"/>
      <c r="BY19" s="589"/>
      <c r="BZ19" s="590"/>
      <c r="CA19" s="396">
        <f t="shared" si="33"/>
        <v>15</v>
      </c>
      <c r="CB19" s="397" t="str">
        <f t="shared" si="34"/>
        <v>on</v>
      </c>
      <c r="CC19" s="398" t="s">
        <v>221</v>
      </c>
      <c r="CD19" s="399" t="str">
        <f t="shared" si="35"/>
        <v/>
      </c>
      <c r="CE19" s="609" t="s">
        <v>224</v>
      </c>
      <c r="CF19" s="610"/>
      <c r="CG19" s="611"/>
      <c r="CH19" s="426"/>
      <c r="CI19" s="428"/>
      <c r="CJ19" s="255"/>
      <c r="CK19" s="255"/>
      <c r="CL19" s="255"/>
    </row>
    <row r="20" spans="1:90" ht="18" customHeight="1">
      <c r="A20" s="584" t="s">
        <v>395</v>
      </c>
      <c r="B20" s="396">
        <f>IF(ISNUMBER(B19),B19+1,1)</f>
        <v>16</v>
      </c>
      <c r="C20" s="397" t="str">
        <f t="shared" si="1"/>
        <v>fr</v>
      </c>
      <c r="D20" s="398" t="s">
        <v>229</v>
      </c>
      <c r="E20" s="399" t="str">
        <f t="shared" si="2"/>
        <v/>
      </c>
      <c r="F20" s="588"/>
      <c r="G20" s="589"/>
      <c r="H20" s="590"/>
      <c r="I20" s="396">
        <f>IF(ISNUMBER(I19),I19+1,1)</f>
        <v>16</v>
      </c>
      <c r="J20" s="397" t="str">
        <f t="shared" si="4"/>
        <v>ma</v>
      </c>
      <c r="K20" s="398" t="s">
        <v>229</v>
      </c>
      <c r="L20" s="399">
        <f t="shared" si="5"/>
        <v>37.857142857142854</v>
      </c>
      <c r="M20" s="588"/>
      <c r="N20" s="589"/>
      <c r="O20" s="590"/>
      <c r="P20" s="396">
        <f>IF(ISNUMBER(P19),P19+1,1)</f>
        <v>16</v>
      </c>
      <c r="Q20" s="397" t="str">
        <f t="shared" si="7"/>
        <v>on</v>
      </c>
      <c r="R20" s="398" t="s">
        <v>268</v>
      </c>
      <c r="S20" s="399" t="str">
        <f t="shared" si="8"/>
        <v/>
      </c>
      <c r="T20" s="588" t="s">
        <v>299</v>
      </c>
      <c r="U20" s="589"/>
      <c r="V20" s="590"/>
      <c r="W20" s="396">
        <f>IF(ISNUMBER(W19),W19+1,1)</f>
        <v>16</v>
      </c>
      <c r="X20" s="397" t="str">
        <f t="shared" si="10"/>
        <v>lø</v>
      </c>
      <c r="Y20" s="398" t="s">
        <v>240</v>
      </c>
      <c r="Z20" s="399" t="str">
        <f t="shared" si="11"/>
        <v/>
      </c>
      <c r="AA20" s="588"/>
      <c r="AB20" s="589"/>
      <c r="AC20" s="590"/>
      <c r="AD20" s="396">
        <f>IF(ISNUMBER(AD19),AD19+1,1)</f>
        <v>16</v>
      </c>
      <c r="AE20" s="397" t="str">
        <f t="shared" si="13"/>
        <v>ma</v>
      </c>
      <c r="AF20" s="398" t="s">
        <v>229</v>
      </c>
      <c r="AG20" s="399">
        <f t="shared" si="14"/>
        <v>50.857142857142854</v>
      </c>
      <c r="AH20" s="588"/>
      <c r="AI20" s="589"/>
      <c r="AJ20" s="590"/>
      <c r="AK20" s="396">
        <f>IF(ISNUMBER(AK19),AK19+1,1)</f>
        <v>16</v>
      </c>
      <c r="AL20" s="397" t="str">
        <f t="shared" si="16"/>
        <v>to</v>
      </c>
      <c r="AM20" s="398" t="s">
        <v>229</v>
      </c>
      <c r="AN20" s="399" t="str">
        <f t="shared" si="17"/>
        <v/>
      </c>
      <c r="AO20" s="591"/>
      <c r="AP20" s="592"/>
      <c r="AQ20" s="593"/>
      <c r="AR20" s="396">
        <f>IF(ISNUMBER(AR19),AR19+1,1)</f>
        <v>16</v>
      </c>
      <c r="AS20" s="397" t="str">
        <f t="shared" si="19"/>
        <v>sø</v>
      </c>
      <c r="AT20" s="398" t="s">
        <v>240</v>
      </c>
      <c r="AU20" s="399" t="str">
        <f t="shared" si="20"/>
        <v/>
      </c>
      <c r="AV20" s="588"/>
      <c r="AW20" s="589"/>
      <c r="AX20" s="590"/>
      <c r="AY20" s="396">
        <f>IF(ISNUMBER(AY19),AY19+1,1)</f>
        <v>16</v>
      </c>
      <c r="AZ20" s="397" t="str">
        <f t="shared" si="22"/>
        <v>ma</v>
      </c>
      <c r="BA20" s="398" t="s">
        <v>229</v>
      </c>
      <c r="BB20" s="399">
        <f t="shared" si="23"/>
        <v>11.714285714285714</v>
      </c>
      <c r="BC20" s="588"/>
      <c r="BD20" s="589"/>
      <c r="BE20" s="590"/>
      <c r="BF20" s="396">
        <f>IF(ISNUMBER(BF19),BF19+1,1)</f>
        <v>16</v>
      </c>
      <c r="BG20" s="397" t="str">
        <f t="shared" si="25"/>
        <v>to</v>
      </c>
      <c r="BH20" s="398" t="s">
        <v>229</v>
      </c>
      <c r="BI20" s="399" t="str">
        <f t="shared" si="26"/>
        <v/>
      </c>
      <c r="BJ20" s="588"/>
      <c r="BK20" s="589"/>
      <c r="BL20" s="590"/>
      <c r="BM20" s="396">
        <f>IF(ISNUMBER(BM19),BM19+1,1)</f>
        <v>16</v>
      </c>
      <c r="BN20" s="397" t="str">
        <f t="shared" si="28"/>
        <v>lø</v>
      </c>
      <c r="BO20" s="398" t="s">
        <v>240</v>
      </c>
      <c r="BP20" s="399" t="str">
        <f t="shared" si="29"/>
        <v/>
      </c>
      <c r="BQ20" s="588"/>
      <c r="BR20" s="589"/>
      <c r="BS20" s="590"/>
      <c r="BT20" s="396">
        <f>IF(ISNUMBER(BT19),BT19+1,1)</f>
        <v>16</v>
      </c>
      <c r="BU20" s="397" t="str">
        <f t="shared" si="31"/>
        <v>ti</v>
      </c>
      <c r="BV20" s="398" t="s">
        <v>229</v>
      </c>
      <c r="BW20" s="399" t="str">
        <f t="shared" si="32"/>
        <v/>
      </c>
      <c r="BX20" s="588"/>
      <c r="BY20" s="589"/>
      <c r="BZ20" s="590"/>
      <c r="CA20" s="396">
        <f>IF(ISNUMBER(CA19),CA19+1,1)</f>
        <v>16</v>
      </c>
      <c r="CB20" s="397" t="str">
        <f t="shared" si="34"/>
        <v>to</v>
      </c>
      <c r="CC20" s="398" t="s">
        <v>221</v>
      </c>
      <c r="CD20" s="399" t="str">
        <f t="shared" si="35"/>
        <v/>
      </c>
      <c r="CE20" s="609" t="s">
        <v>224</v>
      </c>
      <c r="CF20" s="610"/>
      <c r="CG20" s="611"/>
      <c r="CH20" s="426"/>
      <c r="CI20" s="428"/>
      <c r="CJ20" s="255"/>
      <c r="CK20" s="255"/>
      <c r="CL20" s="255"/>
    </row>
    <row r="21" spans="1:90" ht="18" customHeight="1">
      <c r="A21" s="584"/>
      <c r="B21" s="396">
        <f t="shared" si="0"/>
        <v>17</v>
      </c>
      <c r="C21" s="397" t="str">
        <f t="shared" si="1"/>
        <v>lø</v>
      </c>
      <c r="D21" s="398" t="s">
        <v>240</v>
      </c>
      <c r="E21" s="399" t="str">
        <f t="shared" si="2"/>
        <v/>
      </c>
      <c r="F21" s="588"/>
      <c r="G21" s="589"/>
      <c r="H21" s="590"/>
      <c r="I21" s="396">
        <f t="shared" si="3"/>
        <v>17</v>
      </c>
      <c r="J21" s="397" t="str">
        <f t="shared" si="4"/>
        <v>ti</v>
      </c>
      <c r="K21" s="398" t="s">
        <v>229</v>
      </c>
      <c r="L21" s="399" t="str">
        <f t="shared" si="5"/>
        <v/>
      </c>
      <c r="M21" s="588"/>
      <c r="N21" s="589"/>
      <c r="O21" s="590"/>
      <c r="P21" s="396">
        <f t="shared" si="6"/>
        <v>17</v>
      </c>
      <c r="Q21" s="397" t="str">
        <f t="shared" si="7"/>
        <v>to</v>
      </c>
      <c r="R21" s="398" t="s">
        <v>268</v>
      </c>
      <c r="S21" s="399" t="str">
        <f t="shared" si="8"/>
        <v/>
      </c>
      <c r="T21" s="588" t="s">
        <v>299</v>
      </c>
      <c r="U21" s="589"/>
      <c r="V21" s="590"/>
      <c r="W21" s="396">
        <f t="shared" si="9"/>
        <v>17</v>
      </c>
      <c r="X21" s="397" t="str">
        <f t="shared" si="10"/>
        <v>sø</v>
      </c>
      <c r="Y21" s="398" t="s">
        <v>240</v>
      </c>
      <c r="Z21" s="399" t="str">
        <f t="shared" si="11"/>
        <v/>
      </c>
      <c r="AA21" s="588"/>
      <c r="AB21" s="589"/>
      <c r="AC21" s="590"/>
      <c r="AD21" s="396">
        <f t="shared" si="12"/>
        <v>17</v>
      </c>
      <c r="AE21" s="397" t="str">
        <f t="shared" si="13"/>
        <v>ti</v>
      </c>
      <c r="AF21" s="398" t="s">
        <v>229</v>
      </c>
      <c r="AG21" s="399" t="str">
        <f t="shared" si="14"/>
        <v/>
      </c>
      <c r="AH21" s="588"/>
      <c r="AI21" s="589"/>
      <c r="AJ21" s="590"/>
      <c r="AK21" s="396">
        <f t="shared" si="15"/>
        <v>17</v>
      </c>
      <c r="AL21" s="397" t="str">
        <f t="shared" si="16"/>
        <v>fr</v>
      </c>
      <c r="AM21" s="398" t="s">
        <v>229</v>
      </c>
      <c r="AN21" s="399" t="str">
        <f t="shared" si="17"/>
        <v/>
      </c>
      <c r="AO21" s="591"/>
      <c r="AP21" s="592"/>
      <c r="AQ21" s="593"/>
      <c r="AR21" s="396">
        <f t="shared" si="18"/>
        <v>17</v>
      </c>
      <c r="AS21" s="397" t="str">
        <f t="shared" si="19"/>
        <v>ma</v>
      </c>
      <c r="AT21" s="398" t="s">
        <v>229</v>
      </c>
      <c r="AU21" s="399">
        <f t="shared" si="20"/>
        <v>7.7142857142857144</v>
      </c>
      <c r="AV21" s="588"/>
      <c r="AW21" s="589"/>
      <c r="AX21" s="590"/>
      <c r="AY21" s="396">
        <f t="shared" si="21"/>
        <v>17</v>
      </c>
      <c r="AZ21" s="397" t="str">
        <f t="shared" si="22"/>
        <v>ti</v>
      </c>
      <c r="BA21" s="398" t="s">
        <v>229</v>
      </c>
      <c r="BB21" s="399" t="str">
        <f t="shared" si="23"/>
        <v/>
      </c>
      <c r="BC21" s="588"/>
      <c r="BD21" s="589"/>
      <c r="BE21" s="590"/>
      <c r="BF21" s="396">
        <f t="shared" si="24"/>
        <v>17</v>
      </c>
      <c r="BG21" s="397" t="str">
        <f t="shared" si="25"/>
        <v>fr</v>
      </c>
      <c r="BH21" s="398" t="s">
        <v>229</v>
      </c>
      <c r="BI21" s="399" t="str">
        <f t="shared" si="26"/>
        <v/>
      </c>
      <c r="BJ21" s="588"/>
      <c r="BK21" s="589"/>
      <c r="BL21" s="590"/>
      <c r="BM21" s="396">
        <f t="shared" si="27"/>
        <v>17</v>
      </c>
      <c r="BN21" s="397" t="str">
        <f t="shared" si="28"/>
        <v>sø</v>
      </c>
      <c r="BO21" s="398" t="s">
        <v>240</v>
      </c>
      <c r="BP21" s="399" t="str">
        <f t="shared" si="29"/>
        <v/>
      </c>
      <c r="BQ21" s="588"/>
      <c r="BR21" s="589"/>
      <c r="BS21" s="590"/>
      <c r="BT21" s="396">
        <f t="shared" si="30"/>
        <v>17</v>
      </c>
      <c r="BU21" s="397" t="str">
        <f t="shared" si="31"/>
        <v>on</v>
      </c>
      <c r="BV21" s="398" t="s">
        <v>229</v>
      </c>
      <c r="BW21" s="399" t="str">
        <f t="shared" si="32"/>
        <v/>
      </c>
      <c r="BX21" s="588"/>
      <c r="BY21" s="589"/>
      <c r="BZ21" s="590"/>
      <c r="CA21" s="396">
        <f t="shared" si="33"/>
        <v>17</v>
      </c>
      <c r="CB21" s="397" t="str">
        <f t="shared" si="34"/>
        <v>fr</v>
      </c>
      <c r="CC21" s="398" t="s">
        <v>221</v>
      </c>
      <c r="CD21" s="399" t="str">
        <f t="shared" si="35"/>
        <v/>
      </c>
      <c r="CE21" s="609" t="s">
        <v>224</v>
      </c>
      <c r="CF21" s="610"/>
      <c r="CG21" s="611"/>
      <c r="CH21" s="426"/>
      <c r="CI21" s="428"/>
      <c r="CJ21" s="255"/>
      <c r="CK21" s="255"/>
      <c r="CL21" s="255"/>
    </row>
    <row r="22" spans="1:90" ht="18" customHeight="1">
      <c r="A22" s="584"/>
      <c r="B22" s="396">
        <f t="shared" si="0"/>
        <v>18</v>
      </c>
      <c r="C22" s="397" t="str">
        <f t="shared" si="1"/>
        <v>sø</v>
      </c>
      <c r="D22" s="398" t="s">
        <v>240</v>
      </c>
      <c r="E22" s="399" t="str">
        <f t="shared" si="2"/>
        <v/>
      </c>
      <c r="F22" s="588"/>
      <c r="G22" s="589"/>
      <c r="H22" s="590"/>
      <c r="I22" s="396">
        <f t="shared" si="3"/>
        <v>18</v>
      </c>
      <c r="J22" s="397" t="str">
        <f t="shared" si="4"/>
        <v>on</v>
      </c>
      <c r="K22" s="398" t="s">
        <v>229</v>
      </c>
      <c r="L22" s="399" t="str">
        <f t="shared" si="5"/>
        <v/>
      </c>
      <c r="M22" s="588"/>
      <c r="N22" s="589"/>
      <c r="O22" s="590"/>
      <c r="P22" s="396">
        <f t="shared" si="6"/>
        <v>18</v>
      </c>
      <c r="Q22" s="397" t="str">
        <f t="shared" si="7"/>
        <v>fr</v>
      </c>
      <c r="R22" s="398" t="s">
        <v>268</v>
      </c>
      <c r="S22" s="399" t="str">
        <f t="shared" si="8"/>
        <v/>
      </c>
      <c r="T22" s="588" t="s">
        <v>299</v>
      </c>
      <c r="U22" s="589"/>
      <c r="V22" s="590"/>
      <c r="W22" s="396">
        <f t="shared" si="9"/>
        <v>18</v>
      </c>
      <c r="X22" s="397" t="str">
        <f t="shared" si="10"/>
        <v>ma</v>
      </c>
      <c r="Y22" s="398" t="s">
        <v>229</v>
      </c>
      <c r="Z22" s="399">
        <f t="shared" si="11"/>
        <v>46.857142857142854</v>
      </c>
      <c r="AA22" s="588"/>
      <c r="AB22" s="589"/>
      <c r="AC22" s="590"/>
      <c r="AD22" s="396">
        <f t="shared" si="12"/>
        <v>18</v>
      </c>
      <c r="AE22" s="397" t="str">
        <f t="shared" si="13"/>
        <v>on</v>
      </c>
      <c r="AF22" s="398" t="s">
        <v>229</v>
      </c>
      <c r="AG22" s="399" t="str">
        <f t="shared" si="14"/>
        <v/>
      </c>
      <c r="AH22" s="588"/>
      <c r="AI22" s="589"/>
      <c r="AJ22" s="590"/>
      <c r="AK22" s="396">
        <f t="shared" si="15"/>
        <v>18</v>
      </c>
      <c r="AL22" s="397" t="str">
        <f t="shared" si="16"/>
        <v>lø</v>
      </c>
      <c r="AM22" s="398" t="s">
        <v>240</v>
      </c>
      <c r="AN22" s="399" t="str">
        <f t="shared" si="17"/>
        <v/>
      </c>
      <c r="AO22" s="591"/>
      <c r="AP22" s="592"/>
      <c r="AQ22" s="593"/>
      <c r="AR22" s="396">
        <f t="shared" si="18"/>
        <v>18</v>
      </c>
      <c r="AS22" s="397" t="str">
        <f t="shared" si="19"/>
        <v>ti</v>
      </c>
      <c r="AT22" s="398" t="s">
        <v>229</v>
      </c>
      <c r="AU22" s="399" t="str">
        <f t="shared" si="20"/>
        <v/>
      </c>
      <c r="AV22" s="588"/>
      <c r="AW22" s="589"/>
      <c r="AX22" s="590"/>
      <c r="AY22" s="396">
        <f t="shared" si="21"/>
        <v>18</v>
      </c>
      <c r="AZ22" s="397" t="str">
        <f t="shared" si="22"/>
        <v>on</v>
      </c>
      <c r="BA22" s="398" t="s">
        <v>229</v>
      </c>
      <c r="BB22" s="399" t="str">
        <f t="shared" si="23"/>
        <v/>
      </c>
      <c r="BC22" s="588"/>
      <c r="BD22" s="589"/>
      <c r="BE22" s="590"/>
      <c r="BF22" s="396">
        <f t="shared" si="24"/>
        <v>18</v>
      </c>
      <c r="BG22" s="397" t="str">
        <f t="shared" si="25"/>
        <v>lø</v>
      </c>
      <c r="BH22" s="398" t="s">
        <v>240</v>
      </c>
      <c r="BI22" s="399" t="str">
        <f t="shared" si="26"/>
        <v/>
      </c>
      <c r="BJ22" s="588"/>
      <c r="BK22" s="589"/>
      <c r="BL22" s="590"/>
      <c r="BM22" s="396">
        <f t="shared" si="27"/>
        <v>18</v>
      </c>
      <c r="BN22" s="397" t="str">
        <f t="shared" si="28"/>
        <v>ma</v>
      </c>
      <c r="BO22" s="398" t="s">
        <v>229</v>
      </c>
      <c r="BP22" s="399">
        <f t="shared" si="29"/>
        <v>20.714285714285715</v>
      </c>
      <c r="BQ22" s="588"/>
      <c r="BR22" s="589"/>
      <c r="BS22" s="590"/>
      <c r="BT22" s="396">
        <f t="shared" si="30"/>
        <v>18</v>
      </c>
      <c r="BU22" s="397" t="str">
        <f t="shared" si="31"/>
        <v>to</v>
      </c>
      <c r="BV22" s="398" t="s">
        <v>229</v>
      </c>
      <c r="BW22" s="399" t="str">
        <f t="shared" si="32"/>
        <v/>
      </c>
      <c r="BX22" s="588"/>
      <c r="BY22" s="589"/>
      <c r="BZ22" s="590"/>
      <c r="CA22" s="396">
        <f t="shared" si="33"/>
        <v>18</v>
      </c>
      <c r="CB22" s="397" t="str">
        <f t="shared" si="34"/>
        <v>lø</v>
      </c>
      <c r="CC22" s="398" t="s">
        <v>240</v>
      </c>
      <c r="CD22" s="399" t="str">
        <f t="shared" si="35"/>
        <v/>
      </c>
      <c r="CE22" s="609"/>
      <c r="CF22" s="610"/>
      <c r="CG22" s="611"/>
      <c r="CH22" s="426"/>
      <c r="CI22" s="428"/>
      <c r="CJ22" s="255"/>
      <c r="CK22" s="255"/>
      <c r="CL22" s="255"/>
    </row>
    <row r="23" spans="1:90" ht="18" customHeight="1">
      <c r="A23" s="584"/>
      <c r="B23" s="396">
        <f t="shared" si="0"/>
        <v>19</v>
      </c>
      <c r="C23" s="397" t="str">
        <f t="shared" si="1"/>
        <v>ma</v>
      </c>
      <c r="D23" s="398" t="s">
        <v>229</v>
      </c>
      <c r="E23" s="399">
        <f t="shared" si="2"/>
        <v>33.857142857142854</v>
      </c>
      <c r="F23" s="588"/>
      <c r="G23" s="589"/>
      <c r="H23" s="590"/>
      <c r="I23" s="396">
        <f t="shared" si="3"/>
        <v>19</v>
      </c>
      <c r="J23" s="397" t="str">
        <f t="shared" si="4"/>
        <v>to</v>
      </c>
      <c r="K23" s="398" t="s">
        <v>229</v>
      </c>
      <c r="L23" s="399" t="str">
        <f t="shared" si="5"/>
        <v/>
      </c>
      <c r="M23" s="588"/>
      <c r="N23" s="589"/>
      <c r="O23" s="590"/>
      <c r="P23" s="396">
        <f t="shared" si="6"/>
        <v>19</v>
      </c>
      <c r="Q23" s="397" t="str">
        <f t="shared" si="7"/>
        <v>lø</v>
      </c>
      <c r="R23" s="398" t="s">
        <v>240</v>
      </c>
      <c r="S23" s="399" t="str">
        <f t="shared" si="8"/>
        <v/>
      </c>
      <c r="T23" s="588"/>
      <c r="U23" s="589"/>
      <c r="V23" s="590"/>
      <c r="W23" s="396">
        <f t="shared" si="9"/>
        <v>19</v>
      </c>
      <c r="X23" s="397" t="str">
        <f t="shared" si="10"/>
        <v>ti</v>
      </c>
      <c r="Y23" s="398" t="s">
        <v>229</v>
      </c>
      <c r="Z23" s="399" t="str">
        <f t="shared" si="11"/>
        <v/>
      </c>
      <c r="AA23" s="588"/>
      <c r="AB23" s="589"/>
      <c r="AC23" s="590"/>
      <c r="AD23" s="396">
        <f t="shared" si="12"/>
        <v>19</v>
      </c>
      <c r="AE23" s="397" t="str">
        <f t="shared" si="13"/>
        <v>to</v>
      </c>
      <c r="AF23" s="398" t="s">
        <v>229</v>
      </c>
      <c r="AG23" s="399" t="str">
        <f t="shared" si="14"/>
        <v/>
      </c>
      <c r="AH23" s="588"/>
      <c r="AI23" s="589"/>
      <c r="AJ23" s="590"/>
      <c r="AK23" s="396">
        <f t="shared" si="15"/>
        <v>19</v>
      </c>
      <c r="AL23" s="397" t="str">
        <f t="shared" si="16"/>
        <v>sø</v>
      </c>
      <c r="AM23" s="398" t="s">
        <v>240</v>
      </c>
      <c r="AN23" s="399" t="str">
        <f t="shared" si="17"/>
        <v/>
      </c>
      <c r="AO23" s="591"/>
      <c r="AP23" s="592"/>
      <c r="AQ23" s="593"/>
      <c r="AR23" s="396">
        <f t="shared" si="18"/>
        <v>19</v>
      </c>
      <c r="AS23" s="397" t="str">
        <f t="shared" si="19"/>
        <v>on</v>
      </c>
      <c r="AT23" s="398" t="s">
        <v>229</v>
      </c>
      <c r="AU23" s="399" t="str">
        <f t="shared" si="20"/>
        <v/>
      </c>
      <c r="AV23" s="588"/>
      <c r="AW23" s="589"/>
      <c r="AX23" s="590"/>
      <c r="AY23" s="396">
        <f t="shared" si="21"/>
        <v>19</v>
      </c>
      <c r="AZ23" s="397" t="str">
        <f t="shared" si="22"/>
        <v>to</v>
      </c>
      <c r="BA23" s="398" t="s">
        <v>229</v>
      </c>
      <c r="BB23" s="399" t="str">
        <f t="shared" si="23"/>
        <v/>
      </c>
      <c r="BC23" s="588"/>
      <c r="BD23" s="589"/>
      <c r="BE23" s="590"/>
      <c r="BF23" s="396">
        <f t="shared" si="24"/>
        <v>19</v>
      </c>
      <c r="BG23" s="397" t="str">
        <f t="shared" si="25"/>
        <v>sø</v>
      </c>
      <c r="BH23" s="398" t="s">
        <v>240</v>
      </c>
      <c r="BI23" s="399" t="str">
        <f t="shared" si="26"/>
        <v/>
      </c>
      <c r="BJ23" s="588"/>
      <c r="BK23" s="589"/>
      <c r="BL23" s="590"/>
      <c r="BM23" s="396">
        <f t="shared" si="27"/>
        <v>19</v>
      </c>
      <c r="BN23" s="397" t="str">
        <f t="shared" si="28"/>
        <v>ti</v>
      </c>
      <c r="BO23" s="398" t="s">
        <v>229</v>
      </c>
      <c r="BP23" s="399" t="str">
        <f t="shared" si="29"/>
        <v/>
      </c>
      <c r="BQ23" s="588"/>
      <c r="BR23" s="589"/>
      <c r="BS23" s="590"/>
      <c r="BT23" s="396">
        <f t="shared" si="30"/>
        <v>19</v>
      </c>
      <c r="BU23" s="397" t="str">
        <f t="shared" si="31"/>
        <v>fr</v>
      </c>
      <c r="BV23" s="398" t="s">
        <v>229</v>
      </c>
      <c r="BW23" s="399" t="str">
        <f t="shared" si="32"/>
        <v/>
      </c>
      <c r="BX23" s="588"/>
      <c r="BY23" s="589"/>
      <c r="BZ23" s="590"/>
      <c r="CA23" s="396">
        <f t="shared" si="33"/>
        <v>19</v>
      </c>
      <c r="CB23" s="397" t="str">
        <f t="shared" si="34"/>
        <v>sø</v>
      </c>
      <c r="CC23" s="398" t="s">
        <v>240</v>
      </c>
      <c r="CD23" s="399" t="str">
        <f t="shared" si="35"/>
        <v/>
      </c>
      <c r="CE23" s="609"/>
      <c r="CF23" s="610"/>
      <c r="CG23" s="611"/>
      <c r="CH23" s="426"/>
      <c r="CI23" s="428"/>
      <c r="CJ23" s="255"/>
      <c r="CK23" s="255"/>
      <c r="CL23" s="255"/>
    </row>
    <row r="24" spans="1:90" ht="18" customHeight="1" thickBot="1">
      <c r="A24" s="584"/>
      <c r="B24" s="396">
        <f t="shared" si="0"/>
        <v>20</v>
      </c>
      <c r="C24" s="397" t="str">
        <f t="shared" si="1"/>
        <v>ti</v>
      </c>
      <c r="D24" s="398" t="s">
        <v>229</v>
      </c>
      <c r="E24" s="399" t="str">
        <f t="shared" si="2"/>
        <v/>
      </c>
      <c r="F24" s="588"/>
      <c r="G24" s="589"/>
      <c r="H24" s="590"/>
      <c r="I24" s="396">
        <f t="shared" si="3"/>
        <v>20</v>
      </c>
      <c r="J24" s="397" t="str">
        <f t="shared" si="4"/>
        <v>fr</v>
      </c>
      <c r="K24" s="398" t="s">
        <v>229</v>
      </c>
      <c r="L24" s="399" t="str">
        <f t="shared" si="5"/>
        <v/>
      </c>
      <c r="M24" s="588"/>
      <c r="N24" s="589"/>
      <c r="O24" s="590"/>
      <c r="P24" s="396">
        <f t="shared" si="6"/>
        <v>20</v>
      </c>
      <c r="Q24" s="397" t="str">
        <f t="shared" si="7"/>
        <v>sø</v>
      </c>
      <c r="R24" s="398" t="s">
        <v>240</v>
      </c>
      <c r="S24" s="399" t="str">
        <f t="shared" si="8"/>
        <v/>
      </c>
      <c r="T24" s="588"/>
      <c r="U24" s="589"/>
      <c r="V24" s="590"/>
      <c r="W24" s="396">
        <f t="shared" si="9"/>
        <v>20</v>
      </c>
      <c r="X24" s="397" t="str">
        <f t="shared" si="10"/>
        <v>on</v>
      </c>
      <c r="Y24" s="398" t="s">
        <v>229</v>
      </c>
      <c r="Z24" s="399" t="str">
        <f t="shared" si="11"/>
        <v/>
      </c>
      <c r="AA24" s="588"/>
      <c r="AB24" s="589"/>
      <c r="AC24" s="590"/>
      <c r="AD24" s="396">
        <f t="shared" si="12"/>
        <v>20</v>
      </c>
      <c r="AE24" s="397" t="str">
        <f t="shared" si="13"/>
        <v>fr</v>
      </c>
      <c r="AF24" s="398" t="s">
        <v>229</v>
      </c>
      <c r="AG24" s="399" t="str">
        <f t="shared" si="14"/>
        <v/>
      </c>
      <c r="AH24" s="588"/>
      <c r="AI24" s="589"/>
      <c r="AJ24" s="590"/>
      <c r="AK24" s="396">
        <f t="shared" si="15"/>
        <v>20</v>
      </c>
      <c r="AL24" s="397" t="str">
        <f t="shared" si="16"/>
        <v>ma</v>
      </c>
      <c r="AM24" s="398" t="s">
        <v>229</v>
      </c>
      <c r="AN24" s="399">
        <f t="shared" si="17"/>
        <v>3.7142857142857144</v>
      </c>
      <c r="AO24" s="591"/>
      <c r="AP24" s="592"/>
      <c r="AQ24" s="593"/>
      <c r="AR24" s="396">
        <f t="shared" si="18"/>
        <v>20</v>
      </c>
      <c r="AS24" s="397" t="str">
        <f t="shared" si="19"/>
        <v>to</v>
      </c>
      <c r="AT24" s="398" t="s">
        <v>229</v>
      </c>
      <c r="AU24" s="399" t="str">
        <f t="shared" si="20"/>
        <v/>
      </c>
      <c r="AV24" s="588"/>
      <c r="AW24" s="589"/>
      <c r="AX24" s="590"/>
      <c r="AY24" s="396">
        <f t="shared" si="21"/>
        <v>20</v>
      </c>
      <c r="AZ24" s="397" t="str">
        <f t="shared" si="22"/>
        <v>fr</v>
      </c>
      <c r="BA24" s="398" t="s">
        <v>229</v>
      </c>
      <c r="BB24" s="399" t="str">
        <f t="shared" si="23"/>
        <v/>
      </c>
      <c r="BC24" s="588"/>
      <c r="BD24" s="589"/>
      <c r="BE24" s="590"/>
      <c r="BF24" s="396">
        <f t="shared" si="24"/>
        <v>20</v>
      </c>
      <c r="BG24" s="397" t="str">
        <f t="shared" si="25"/>
        <v>ma</v>
      </c>
      <c r="BH24" s="398" t="s">
        <v>229</v>
      </c>
      <c r="BI24" s="399">
        <f t="shared" si="26"/>
        <v>16.714285714285715</v>
      </c>
      <c r="BJ24" s="588"/>
      <c r="BK24" s="589"/>
      <c r="BL24" s="590"/>
      <c r="BM24" s="396">
        <f t="shared" si="27"/>
        <v>20</v>
      </c>
      <c r="BN24" s="397" t="str">
        <f t="shared" si="28"/>
        <v>on</v>
      </c>
      <c r="BO24" s="398" t="s">
        <v>229</v>
      </c>
      <c r="BP24" s="399" t="str">
        <f t="shared" si="29"/>
        <v/>
      </c>
      <c r="BQ24" s="588"/>
      <c r="BR24" s="589"/>
      <c r="BS24" s="590"/>
      <c r="BT24" s="396">
        <f t="shared" si="30"/>
        <v>20</v>
      </c>
      <c r="BU24" s="397" t="str">
        <f t="shared" si="31"/>
        <v>lø</v>
      </c>
      <c r="BV24" s="398" t="s">
        <v>242</v>
      </c>
      <c r="BW24" s="399" t="str">
        <f t="shared" si="32"/>
        <v/>
      </c>
      <c r="BX24" s="588"/>
      <c r="BY24" s="589"/>
      <c r="BZ24" s="590"/>
      <c r="CA24" s="396">
        <f t="shared" si="33"/>
        <v>20</v>
      </c>
      <c r="CB24" s="397" t="str">
        <f t="shared" si="34"/>
        <v>ma</v>
      </c>
      <c r="CC24" s="398" t="s">
        <v>221</v>
      </c>
      <c r="CD24" s="399">
        <f t="shared" si="35"/>
        <v>29.714285714285715</v>
      </c>
      <c r="CE24" s="609" t="s">
        <v>224</v>
      </c>
      <c r="CF24" s="610"/>
      <c r="CG24" s="611"/>
      <c r="CH24" s="426"/>
      <c r="CI24" s="428"/>
      <c r="CJ24" s="255"/>
      <c r="CK24" s="255"/>
      <c r="CL24" s="255"/>
    </row>
    <row r="25" spans="1:90" ht="18" customHeight="1">
      <c r="A25" s="584"/>
      <c r="B25" s="396">
        <f t="shared" si="0"/>
        <v>21</v>
      </c>
      <c r="C25" s="397" t="str">
        <f t="shared" si="1"/>
        <v>on</v>
      </c>
      <c r="D25" s="398" t="s">
        <v>229</v>
      </c>
      <c r="E25" s="399" t="str">
        <f t="shared" si="2"/>
        <v/>
      </c>
      <c r="F25" s="588"/>
      <c r="G25" s="589"/>
      <c r="H25" s="590"/>
      <c r="I25" s="396">
        <f t="shared" si="3"/>
        <v>21</v>
      </c>
      <c r="J25" s="397" t="str">
        <f t="shared" si="4"/>
        <v>lø</v>
      </c>
      <c r="K25" s="398" t="s">
        <v>240</v>
      </c>
      <c r="L25" s="399" t="str">
        <f t="shared" si="5"/>
        <v/>
      </c>
      <c r="M25" s="588"/>
      <c r="N25" s="589"/>
      <c r="O25" s="590"/>
      <c r="P25" s="396">
        <f t="shared" si="6"/>
        <v>21</v>
      </c>
      <c r="Q25" s="397" t="str">
        <f t="shared" si="7"/>
        <v>ma</v>
      </c>
      <c r="R25" s="398" t="s">
        <v>229</v>
      </c>
      <c r="S25" s="399">
        <f t="shared" si="8"/>
        <v>42.857142857142854</v>
      </c>
      <c r="T25" s="588"/>
      <c r="U25" s="589"/>
      <c r="V25" s="590"/>
      <c r="W25" s="396">
        <f t="shared" si="9"/>
        <v>21</v>
      </c>
      <c r="X25" s="397" t="str">
        <f t="shared" si="10"/>
        <v>to</v>
      </c>
      <c r="Y25" s="398" t="s">
        <v>229</v>
      </c>
      <c r="Z25" s="399" t="str">
        <f t="shared" si="11"/>
        <v/>
      </c>
      <c r="AA25" s="588"/>
      <c r="AB25" s="589"/>
      <c r="AC25" s="590"/>
      <c r="AD25" s="396">
        <f t="shared" si="12"/>
        <v>21</v>
      </c>
      <c r="AE25" s="397" t="str">
        <f t="shared" si="13"/>
        <v>lø</v>
      </c>
      <c r="AF25" s="398" t="s">
        <v>240</v>
      </c>
      <c r="AG25" s="399" t="str">
        <f t="shared" si="14"/>
        <v/>
      </c>
      <c r="AH25" s="588"/>
      <c r="AI25" s="589"/>
      <c r="AJ25" s="590"/>
      <c r="AK25" s="396">
        <f t="shared" si="15"/>
        <v>21</v>
      </c>
      <c r="AL25" s="397" t="str">
        <f t="shared" si="16"/>
        <v>ti</v>
      </c>
      <c r="AM25" s="398" t="s">
        <v>229</v>
      </c>
      <c r="AN25" s="399" t="str">
        <f t="shared" si="17"/>
        <v/>
      </c>
      <c r="AO25" s="591"/>
      <c r="AP25" s="592"/>
      <c r="AQ25" s="593"/>
      <c r="AR25" s="396">
        <f t="shared" si="18"/>
        <v>21</v>
      </c>
      <c r="AS25" s="397" t="str">
        <f t="shared" si="19"/>
        <v>fr</v>
      </c>
      <c r="AT25" s="398" t="s">
        <v>229</v>
      </c>
      <c r="AU25" s="399" t="str">
        <f t="shared" si="20"/>
        <v/>
      </c>
      <c r="AV25" s="588"/>
      <c r="AW25" s="589"/>
      <c r="AX25" s="590"/>
      <c r="AY25" s="396">
        <f t="shared" si="21"/>
        <v>21</v>
      </c>
      <c r="AZ25" s="397" t="str">
        <f t="shared" si="22"/>
        <v>lø</v>
      </c>
      <c r="BA25" s="398" t="s">
        <v>240</v>
      </c>
      <c r="BB25" s="399" t="str">
        <f t="shared" si="23"/>
        <v/>
      </c>
      <c r="BC25" s="588"/>
      <c r="BD25" s="589"/>
      <c r="BE25" s="590"/>
      <c r="BF25" s="396">
        <f t="shared" si="24"/>
        <v>21</v>
      </c>
      <c r="BG25" s="397" t="str">
        <f t="shared" si="25"/>
        <v>ti</v>
      </c>
      <c r="BH25" s="398" t="s">
        <v>229</v>
      </c>
      <c r="BI25" s="399" t="str">
        <f t="shared" si="26"/>
        <v/>
      </c>
      <c r="BJ25" s="588"/>
      <c r="BK25" s="589"/>
      <c r="BL25" s="590"/>
      <c r="BM25" s="396">
        <f t="shared" si="27"/>
        <v>21</v>
      </c>
      <c r="BN25" s="397" t="str">
        <f t="shared" si="28"/>
        <v>to</v>
      </c>
      <c r="BO25" s="398" t="s">
        <v>241</v>
      </c>
      <c r="BP25" s="399" t="str">
        <f t="shared" si="29"/>
        <v/>
      </c>
      <c r="BQ25" s="588" t="s">
        <v>401</v>
      </c>
      <c r="BR25" s="589"/>
      <c r="BS25" s="590"/>
      <c r="BT25" s="396">
        <f t="shared" si="30"/>
        <v>21</v>
      </c>
      <c r="BU25" s="397" t="str">
        <f t="shared" si="31"/>
        <v>sø</v>
      </c>
      <c r="BV25" s="398" t="s">
        <v>242</v>
      </c>
      <c r="BW25" s="399" t="str">
        <f t="shared" si="32"/>
        <v/>
      </c>
      <c r="BX25" s="588"/>
      <c r="BY25" s="589"/>
      <c r="BZ25" s="590"/>
      <c r="CA25" s="396">
        <f t="shared" si="33"/>
        <v>21</v>
      </c>
      <c r="CB25" s="397" t="str">
        <f t="shared" si="34"/>
        <v>ti</v>
      </c>
      <c r="CC25" s="398" t="s">
        <v>221</v>
      </c>
      <c r="CD25" s="399" t="str">
        <f t="shared" si="35"/>
        <v/>
      </c>
      <c r="CE25" s="609" t="s">
        <v>224</v>
      </c>
      <c r="CF25" s="610"/>
      <c r="CG25" s="611"/>
      <c r="CH25" s="426"/>
      <c r="CI25" s="403" t="s">
        <v>164</v>
      </c>
      <c r="CJ25" s="404"/>
      <c r="CK25" s="255"/>
      <c r="CL25" s="255"/>
    </row>
    <row r="26" spans="1:90" ht="18" customHeight="1">
      <c r="A26" s="583" t="s">
        <v>296</v>
      </c>
      <c r="B26" s="396">
        <f t="shared" si="0"/>
        <v>22</v>
      </c>
      <c r="C26" s="397" t="str">
        <f t="shared" si="1"/>
        <v>to</v>
      </c>
      <c r="D26" s="398" t="s">
        <v>229</v>
      </c>
      <c r="E26" s="399" t="str">
        <f t="shared" si="2"/>
        <v/>
      </c>
      <c r="F26" s="588"/>
      <c r="G26" s="589"/>
      <c r="H26" s="590"/>
      <c r="I26" s="396">
        <f t="shared" si="3"/>
        <v>22</v>
      </c>
      <c r="J26" s="397" t="str">
        <f t="shared" si="4"/>
        <v>sø</v>
      </c>
      <c r="K26" s="398" t="s">
        <v>240</v>
      </c>
      <c r="L26" s="399" t="str">
        <f t="shared" si="5"/>
        <v/>
      </c>
      <c r="M26" s="588"/>
      <c r="N26" s="589"/>
      <c r="O26" s="590"/>
      <c r="P26" s="396">
        <f t="shared" si="6"/>
        <v>22</v>
      </c>
      <c r="Q26" s="397" t="str">
        <f t="shared" si="7"/>
        <v>ti</v>
      </c>
      <c r="R26" s="398" t="s">
        <v>229</v>
      </c>
      <c r="S26" s="399" t="str">
        <f t="shared" si="8"/>
        <v/>
      </c>
      <c r="T26" s="588"/>
      <c r="U26" s="589"/>
      <c r="V26" s="590"/>
      <c r="W26" s="396">
        <f t="shared" si="9"/>
        <v>22</v>
      </c>
      <c r="X26" s="397" t="str">
        <f t="shared" si="10"/>
        <v>fr</v>
      </c>
      <c r="Y26" s="398" t="s">
        <v>229</v>
      </c>
      <c r="Z26" s="399" t="str">
        <f t="shared" si="11"/>
        <v/>
      </c>
      <c r="AA26" s="588"/>
      <c r="AB26" s="589"/>
      <c r="AC26" s="590"/>
      <c r="AD26" s="396">
        <f t="shared" si="12"/>
        <v>22</v>
      </c>
      <c r="AE26" s="397" t="str">
        <f t="shared" si="13"/>
        <v>sø</v>
      </c>
      <c r="AF26" s="398" t="s">
        <v>240</v>
      </c>
      <c r="AG26" s="399" t="str">
        <f t="shared" si="14"/>
        <v/>
      </c>
      <c r="AH26" s="588"/>
      <c r="AI26" s="589"/>
      <c r="AJ26" s="590"/>
      <c r="AK26" s="396">
        <f t="shared" si="15"/>
        <v>22</v>
      </c>
      <c r="AL26" s="397" t="str">
        <f t="shared" si="16"/>
        <v>on</v>
      </c>
      <c r="AM26" s="398" t="s">
        <v>229</v>
      </c>
      <c r="AN26" s="399" t="str">
        <f t="shared" si="17"/>
        <v/>
      </c>
      <c r="AO26" s="591"/>
      <c r="AP26" s="592"/>
      <c r="AQ26" s="593"/>
      <c r="AR26" s="396">
        <f t="shared" si="18"/>
        <v>22</v>
      </c>
      <c r="AS26" s="397" t="str">
        <f t="shared" si="19"/>
        <v>lø</v>
      </c>
      <c r="AT26" s="398" t="s">
        <v>240</v>
      </c>
      <c r="AU26" s="399" t="str">
        <f t="shared" si="20"/>
        <v/>
      </c>
      <c r="AV26" s="588"/>
      <c r="AW26" s="589"/>
      <c r="AX26" s="590"/>
      <c r="AY26" s="396">
        <f t="shared" si="21"/>
        <v>22</v>
      </c>
      <c r="AZ26" s="397" t="str">
        <f t="shared" si="22"/>
        <v>sø</v>
      </c>
      <c r="BA26" s="398" t="s">
        <v>240</v>
      </c>
      <c r="BB26" s="399" t="str">
        <f t="shared" si="23"/>
        <v/>
      </c>
      <c r="BC26" s="588"/>
      <c r="BD26" s="589"/>
      <c r="BE26" s="590"/>
      <c r="BF26" s="396">
        <f t="shared" si="24"/>
        <v>22</v>
      </c>
      <c r="BG26" s="397" t="str">
        <f t="shared" si="25"/>
        <v>on</v>
      </c>
      <c r="BH26" s="398" t="s">
        <v>229</v>
      </c>
      <c r="BI26" s="399" t="str">
        <f t="shared" si="26"/>
        <v/>
      </c>
      <c r="BJ26" s="588"/>
      <c r="BK26" s="589"/>
      <c r="BL26" s="590"/>
      <c r="BM26" s="396">
        <f t="shared" si="27"/>
        <v>22</v>
      </c>
      <c r="BN26" s="397" t="str">
        <f t="shared" si="28"/>
        <v>fr</v>
      </c>
      <c r="BO26" s="398" t="s">
        <v>268</v>
      </c>
      <c r="BP26" s="399" t="str">
        <f t="shared" si="29"/>
        <v/>
      </c>
      <c r="BQ26" s="588"/>
      <c r="BR26" s="589"/>
      <c r="BS26" s="590"/>
      <c r="BT26" s="396">
        <f t="shared" si="30"/>
        <v>22</v>
      </c>
      <c r="BU26" s="397" t="str">
        <f t="shared" si="31"/>
        <v>ma</v>
      </c>
      <c r="BV26" s="398" t="s">
        <v>229</v>
      </c>
      <c r="BW26" s="399">
        <f t="shared" si="32"/>
        <v>25.714285714285715</v>
      </c>
      <c r="BX26" s="588"/>
      <c r="BY26" s="589"/>
      <c r="BZ26" s="590"/>
      <c r="CA26" s="396">
        <f t="shared" si="33"/>
        <v>22</v>
      </c>
      <c r="CB26" s="397" t="str">
        <f t="shared" si="34"/>
        <v>on</v>
      </c>
      <c r="CC26" s="398" t="s">
        <v>221</v>
      </c>
      <c r="CD26" s="399" t="str">
        <f t="shared" si="35"/>
        <v/>
      </c>
      <c r="CE26" s="609" t="s">
        <v>224</v>
      </c>
      <c r="CF26" s="610"/>
      <c r="CG26" s="611"/>
      <c r="CH26" s="426"/>
      <c r="CI26" s="405" t="s">
        <v>222</v>
      </c>
      <c r="CJ26" s="406">
        <f>CD37+BW37+BP37+BI37+BB37+AU37+AN37+AG37+Z37+L37+E37+S37</f>
        <v>200</v>
      </c>
      <c r="CK26" s="255"/>
      <c r="CL26" s="255"/>
    </row>
    <row r="27" spans="1:90" ht="18" customHeight="1">
      <c r="A27" s="583"/>
      <c r="B27" s="396">
        <f t="shared" si="0"/>
        <v>23</v>
      </c>
      <c r="C27" s="397" t="str">
        <f t="shared" si="1"/>
        <v>fr</v>
      </c>
      <c r="D27" s="398" t="s">
        <v>229</v>
      </c>
      <c r="E27" s="399" t="str">
        <f t="shared" si="2"/>
        <v/>
      </c>
      <c r="F27" s="588"/>
      <c r="G27" s="589"/>
      <c r="H27" s="590"/>
      <c r="I27" s="396">
        <f t="shared" si="3"/>
        <v>23</v>
      </c>
      <c r="J27" s="397" t="str">
        <f t="shared" si="4"/>
        <v>ma</v>
      </c>
      <c r="K27" s="398" t="s">
        <v>229</v>
      </c>
      <c r="L27" s="399">
        <f t="shared" si="5"/>
        <v>38.857142857142854</v>
      </c>
      <c r="M27" s="588"/>
      <c r="N27" s="589"/>
      <c r="O27" s="590"/>
      <c r="P27" s="396">
        <f t="shared" si="6"/>
        <v>23</v>
      </c>
      <c r="Q27" s="397" t="str">
        <f t="shared" si="7"/>
        <v>on</v>
      </c>
      <c r="R27" s="398" t="s">
        <v>229</v>
      </c>
      <c r="S27" s="399" t="str">
        <f t="shared" si="8"/>
        <v/>
      </c>
      <c r="T27" s="588"/>
      <c r="U27" s="589"/>
      <c r="V27" s="590"/>
      <c r="W27" s="396">
        <f t="shared" si="9"/>
        <v>23</v>
      </c>
      <c r="X27" s="397" t="str">
        <f t="shared" si="10"/>
        <v>lø</v>
      </c>
      <c r="Y27" s="398" t="s">
        <v>240</v>
      </c>
      <c r="Z27" s="399" t="str">
        <f t="shared" si="11"/>
        <v/>
      </c>
      <c r="AA27" s="588"/>
      <c r="AB27" s="589"/>
      <c r="AC27" s="590"/>
      <c r="AD27" s="396">
        <f t="shared" si="12"/>
        <v>23</v>
      </c>
      <c r="AE27" s="397" t="str">
        <f t="shared" si="13"/>
        <v>ma</v>
      </c>
      <c r="AF27" s="398" t="s">
        <v>342</v>
      </c>
      <c r="AG27" s="399">
        <f t="shared" si="14"/>
        <v>51.857142857142854</v>
      </c>
      <c r="AH27" s="588"/>
      <c r="AI27" s="589"/>
      <c r="AJ27" s="590"/>
      <c r="AK27" s="396">
        <f t="shared" si="15"/>
        <v>23</v>
      </c>
      <c r="AL27" s="397" t="str">
        <f t="shared" si="16"/>
        <v>to</v>
      </c>
      <c r="AM27" s="398" t="s">
        <v>229</v>
      </c>
      <c r="AN27" s="399" t="str">
        <f t="shared" si="17"/>
        <v/>
      </c>
      <c r="AO27" s="591"/>
      <c r="AP27" s="592"/>
      <c r="AQ27" s="593"/>
      <c r="AR27" s="396">
        <f t="shared" si="18"/>
        <v>23</v>
      </c>
      <c r="AS27" s="397" t="str">
        <f t="shared" si="19"/>
        <v>sø</v>
      </c>
      <c r="AT27" s="398" t="s">
        <v>240</v>
      </c>
      <c r="AU27" s="399" t="str">
        <f t="shared" si="20"/>
        <v/>
      </c>
      <c r="AV27" s="588"/>
      <c r="AW27" s="589"/>
      <c r="AX27" s="590"/>
      <c r="AY27" s="396">
        <f t="shared" si="21"/>
        <v>23</v>
      </c>
      <c r="AZ27" s="397" t="str">
        <f t="shared" si="22"/>
        <v>ma</v>
      </c>
      <c r="BA27" s="398" t="s">
        <v>229</v>
      </c>
      <c r="BB27" s="399">
        <f t="shared" si="23"/>
        <v>12.714285714285714</v>
      </c>
      <c r="BC27" s="588"/>
      <c r="BD27" s="589"/>
      <c r="BE27" s="590"/>
      <c r="BF27" s="396">
        <f t="shared" si="24"/>
        <v>23</v>
      </c>
      <c r="BG27" s="397" t="str">
        <f t="shared" si="25"/>
        <v>to</v>
      </c>
      <c r="BH27" s="398" t="s">
        <v>229</v>
      </c>
      <c r="BI27" s="399" t="str">
        <f t="shared" si="26"/>
        <v/>
      </c>
      <c r="BJ27" s="588"/>
      <c r="BK27" s="589"/>
      <c r="BL27" s="590"/>
      <c r="BM27" s="396">
        <f t="shared" si="27"/>
        <v>23</v>
      </c>
      <c r="BN27" s="397" t="str">
        <f t="shared" si="28"/>
        <v>lø</v>
      </c>
      <c r="BO27" s="398" t="s">
        <v>240</v>
      </c>
      <c r="BP27" s="399" t="str">
        <f t="shared" si="29"/>
        <v/>
      </c>
      <c r="BQ27" s="588"/>
      <c r="BR27" s="589"/>
      <c r="BS27" s="590"/>
      <c r="BT27" s="396">
        <f t="shared" si="30"/>
        <v>23</v>
      </c>
      <c r="BU27" s="397" t="str">
        <f t="shared" si="31"/>
        <v>ti</v>
      </c>
      <c r="BV27" s="398" t="s">
        <v>229</v>
      </c>
      <c r="BW27" s="399" t="str">
        <f t="shared" si="32"/>
        <v/>
      </c>
      <c r="BX27" s="588"/>
      <c r="BY27" s="589"/>
      <c r="BZ27" s="590"/>
      <c r="CA27" s="396">
        <f t="shared" si="33"/>
        <v>23</v>
      </c>
      <c r="CB27" s="397" t="str">
        <f t="shared" si="34"/>
        <v>to</v>
      </c>
      <c r="CC27" s="398" t="s">
        <v>221</v>
      </c>
      <c r="CD27" s="399" t="str">
        <f t="shared" si="35"/>
        <v/>
      </c>
      <c r="CE27" s="609" t="s">
        <v>224</v>
      </c>
      <c r="CF27" s="610"/>
      <c r="CG27" s="611"/>
      <c r="CH27" s="426"/>
      <c r="CI27" s="407" t="s">
        <v>220</v>
      </c>
      <c r="CJ27" s="408">
        <f t="shared" ref="CJ27:CJ34" si="36">CD38+BW38+BP38+BI38+BB38+AU38+AN38+AG38+Z38+L38+E38+S38</f>
        <v>0</v>
      </c>
      <c r="CK27" s="255"/>
      <c r="CL27" s="255"/>
    </row>
    <row r="28" spans="1:90" ht="18" customHeight="1">
      <c r="A28" s="594" t="s">
        <v>298</v>
      </c>
      <c r="B28" s="396">
        <f t="shared" si="0"/>
        <v>24</v>
      </c>
      <c r="C28" s="397" t="str">
        <f t="shared" si="1"/>
        <v>lø</v>
      </c>
      <c r="D28" s="398" t="s">
        <v>240</v>
      </c>
      <c r="E28" s="399" t="str">
        <f t="shared" si="2"/>
        <v/>
      </c>
      <c r="F28" s="588"/>
      <c r="G28" s="589"/>
      <c r="H28" s="590"/>
      <c r="I28" s="396">
        <f t="shared" si="3"/>
        <v>24</v>
      </c>
      <c r="J28" s="397" t="str">
        <f t="shared" si="4"/>
        <v>ti</v>
      </c>
      <c r="K28" s="398" t="s">
        <v>229</v>
      </c>
      <c r="L28" s="399" t="str">
        <f t="shared" si="5"/>
        <v/>
      </c>
      <c r="M28" s="588"/>
      <c r="N28" s="589"/>
      <c r="O28" s="590"/>
      <c r="P28" s="396">
        <f t="shared" si="6"/>
        <v>24</v>
      </c>
      <c r="Q28" s="397" t="str">
        <f t="shared" si="7"/>
        <v>to</v>
      </c>
      <c r="R28" s="398" t="s">
        <v>229</v>
      </c>
      <c r="S28" s="399" t="str">
        <f t="shared" si="8"/>
        <v/>
      </c>
      <c r="T28" s="588"/>
      <c r="U28" s="589"/>
      <c r="V28" s="590"/>
      <c r="W28" s="396">
        <f t="shared" si="9"/>
        <v>24</v>
      </c>
      <c r="X28" s="397" t="str">
        <f t="shared" si="10"/>
        <v>sø</v>
      </c>
      <c r="Y28" s="398" t="s">
        <v>240</v>
      </c>
      <c r="Z28" s="399" t="str">
        <f t="shared" si="11"/>
        <v/>
      </c>
      <c r="AA28" s="588"/>
      <c r="AB28" s="589"/>
      <c r="AC28" s="590"/>
      <c r="AD28" s="396">
        <f t="shared" si="12"/>
        <v>24</v>
      </c>
      <c r="AE28" s="397" t="str">
        <f t="shared" si="13"/>
        <v>ti</v>
      </c>
      <c r="AF28" s="398" t="s">
        <v>342</v>
      </c>
      <c r="AG28" s="399" t="str">
        <f t="shared" si="14"/>
        <v/>
      </c>
      <c r="AH28" s="588" t="s">
        <v>270</v>
      </c>
      <c r="AI28" s="589"/>
      <c r="AJ28" s="590"/>
      <c r="AK28" s="396">
        <f t="shared" si="15"/>
        <v>24</v>
      </c>
      <c r="AL28" s="397" t="str">
        <f t="shared" si="16"/>
        <v>fr</v>
      </c>
      <c r="AM28" s="398" t="s">
        <v>229</v>
      </c>
      <c r="AN28" s="399" t="str">
        <f t="shared" si="17"/>
        <v/>
      </c>
      <c r="AO28" s="591"/>
      <c r="AP28" s="592"/>
      <c r="AQ28" s="593"/>
      <c r="AR28" s="396">
        <f t="shared" si="18"/>
        <v>24</v>
      </c>
      <c r="AS28" s="397" t="str">
        <f t="shared" si="19"/>
        <v>ma</v>
      </c>
      <c r="AT28" s="398" t="s">
        <v>229</v>
      </c>
      <c r="AU28" s="399">
        <f t="shared" si="20"/>
        <v>8.7142857142857135</v>
      </c>
      <c r="AV28" s="588"/>
      <c r="AW28" s="589"/>
      <c r="AX28" s="590"/>
      <c r="AY28" s="396">
        <f t="shared" si="21"/>
        <v>24</v>
      </c>
      <c r="AZ28" s="397" t="str">
        <f t="shared" si="22"/>
        <v>ti</v>
      </c>
      <c r="BA28" s="398" t="s">
        <v>229</v>
      </c>
      <c r="BB28" s="399" t="str">
        <f t="shared" si="23"/>
        <v/>
      </c>
      <c r="BC28" s="588"/>
      <c r="BD28" s="589"/>
      <c r="BE28" s="590"/>
      <c r="BF28" s="396">
        <f t="shared" si="24"/>
        <v>24</v>
      </c>
      <c r="BG28" s="397" t="str">
        <f t="shared" si="25"/>
        <v>fr</v>
      </c>
      <c r="BH28" s="398" t="s">
        <v>229</v>
      </c>
      <c r="BI28" s="399" t="str">
        <f t="shared" si="26"/>
        <v/>
      </c>
      <c r="BJ28" s="588"/>
      <c r="BK28" s="589"/>
      <c r="BL28" s="590"/>
      <c r="BM28" s="396">
        <f t="shared" si="27"/>
        <v>24</v>
      </c>
      <c r="BN28" s="397" t="str">
        <f t="shared" si="28"/>
        <v>sø</v>
      </c>
      <c r="BO28" s="398" t="s">
        <v>240</v>
      </c>
      <c r="BP28" s="399" t="str">
        <f t="shared" si="29"/>
        <v/>
      </c>
      <c r="BQ28" s="588"/>
      <c r="BR28" s="589"/>
      <c r="BS28" s="590"/>
      <c r="BT28" s="396">
        <f t="shared" si="30"/>
        <v>24</v>
      </c>
      <c r="BU28" s="397" t="str">
        <f t="shared" si="31"/>
        <v>on</v>
      </c>
      <c r="BV28" s="398" t="s">
        <v>229</v>
      </c>
      <c r="BW28" s="399" t="str">
        <f t="shared" si="32"/>
        <v/>
      </c>
      <c r="BX28" s="588"/>
      <c r="BY28" s="589"/>
      <c r="BZ28" s="590"/>
      <c r="CA28" s="396">
        <f t="shared" si="33"/>
        <v>24</v>
      </c>
      <c r="CB28" s="397" t="str">
        <f t="shared" si="34"/>
        <v>fr</v>
      </c>
      <c r="CC28" s="398" t="s">
        <v>221</v>
      </c>
      <c r="CD28" s="399" t="str">
        <f t="shared" si="35"/>
        <v/>
      </c>
      <c r="CE28" s="609" t="s">
        <v>224</v>
      </c>
      <c r="CF28" s="610"/>
      <c r="CG28" s="611"/>
      <c r="CH28" s="426"/>
      <c r="CI28" s="409" t="s">
        <v>219</v>
      </c>
      <c r="CJ28" s="410">
        <f t="shared" si="36"/>
        <v>0</v>
      </c>
      <c r="CK28" s="255"/>
      <c r="CL28" s="255"/>
    </row>
    <row r="29" spans="1:90" ht="18" customHeight="1">
      <c r="A29" s="594"/>
      <c r="B29" s="396">
        <f t="shared" si="0"/>
        <v>25</v>
      </c>
      <c r="C29" s="397" t="str">
        <f t="shared" si="1"/>
        <v>sø</v>
      </c>
      <c r="D29" s="398" t="s">
        <v>240</v>
      </c>
      <c r="E29" s="399" t="str">
        <f t="shared" si="2"/>
        <v/>
      </c>
      <c r="F29" s="588"/>
      <c r="G29" s="589"/>
      <c r="H29" s="590"/>
      <c r="I29" s="396">
        <f t="shared" si="3"/>
        <v>25</v>
      </c>
      <c r="J29" s="397" t="str">
        <f t="shared" si="4"/>
        <v>on</v>
      </c>
      <c r="K29" s="398" t="s">
        <v>229</v>
      </c>
      <c r="L29" s="399" t="str">
        <f t="shared" si="5"/>
        <v/>
      </c>
      <c r="M29" s="588"/>
      <c r="N29" s="589"/>
      <c r="O29" s="590"/>
      <c r="P29" s="396">
        <f t="shared" si="6"/>
        <v>25</v>
      </c>
      <c r="Q29" s="397" t="str">
        <f t="shared" si="7"/>
        <v>fr</v>
      </c>
      <c r="R29" s="398" t="s">
        <v>229</v>
      </c>
      <c r="S29" s="399" t="str">
        <f t="shared" si="8"/>
        <v/>
      </c>
      <c r="T29" s="588"/>
      <c r="U29" s="589"/>
      <c r="V29" s="590"/>
      <c r="W29" s="396">
        <f t="shared" si="9"/>
        <v>25</v>
      </c>
      <c r="X29" s="397" t="str">
        <f t="shared" si="10"/>
        <v>ma</v>
      </c>
      <c r="Y29" s="398" t="s">
        <v>229</v>
      </c>
      <c r="Z29" s="399">
        <f t="shared" si="11"/>
        <v>47.857142857142854</v>
      </c>
      <c r="AA29" s="588"/>
      <c r="AB29" s="589"/>
      <c r="AC29" s="590"/>
      <c r="AD29" s="396">
        <f t="shared" si="12"/>
        <v>25</v>
      </c>
      <c r="AE29" s="397" t="str">
        <f t="shared" si="13"/>
        <v>on</v>
      </c>
      <c r="AF29" s="398" t="s">
        <v>241</v>
      </c>
      <c r="AG29" s="399" t="str">
        <f t="shared" si="14"/>
        <v/>
      </c>
      <c r="AH29" s="588" t="s">
        <v>300</v>
      </c>
      <c r="AI29" s="589"/>
      <c r="AJ29" s="590"/>
      <c r="AK29" s="396">
        <f t="shared" si="15"/>
        <v>25</v>
      </c>
      <c r="AL29" s="397" t="str">
        <f t="shared" si="16"/>
        <v>lø</v>
      </c>
      <c r="AM29" s="398" t="s">
        <v>240</v>
      </c>
      <c r="AN29" s="399" t="str">
        <f t="shared" si="17"/>
        <v/>
      </c>
      <c r="AO29" s="591"/>
      <c r="AP29" s="592"/>
      <c r="AQ29" s="593"/>
      <c r="AR29" s="396">
        <f t="shared" si="18"/>
        <v>25</v>
      </c>
      <c r="AS29" s="397" t="str">
        <f t="shared" si="19"/>
        <v>ti</v>
      </c>
      <c r="AT29" s="398" t="s">
        <v>229</v>
      </c>
      <c r="AU29" s="399" t="str">
        <f t="shared" si="20"/>
        <v/>
      </c>
      <c r="AV29" s="588"/>
      <c r="AW29" s="589"/>
      <c r="AX29" s="590"/>
      <c r="AY29" s="396">
        <f t="shared" si="21"/>
        <v>25</v>
      </c>
      <c r="AZ29" s="397" t="str">
        <f t="shared" si="22"/>
        <v>on</v>
      </c>
      <c r="BA29" s="398" t="s">
        <v>229</v>
      </c>
      <c r="BB29" s="399" t="str">
        <f t="shared" si="23"/>
        <v/>
      </c>
      <c r="BC29" s="588"/>
      <c r="BD29" s="589"/>
      <c r="BE29" s="590"/>
      <c r="BF29" s="396">
        <f t="shared" si="24"/>
        <v>25</v>
      </c>
      <c r="BG29" s="397" t="str">
        <f t="shared" si="25"/>
        <v>lø</v>
      </c>
      <c r="BH29" s="398" t="s">
        <v>240</v>
      </c>
      <c r="BI29" s="399" t="str">
        <f t="shared" si="26"/>
        <v/>
      </c>
      <c r="BJ29" s="588"/>
      <c r="BK29" s="589"/>
      <c r="BL29" s="590"/>
      <c r="BM29" s="396">
        <f t="shared" si="27"/>
        <v>25</v>
      </c>
      <c r="BN29" s="397" t="str">
        <f t="shared" si="28"/>
        <v>ma</v>
      </c>
      <c r="BO29" s="398" t="s">
        <v>229</v>
      </c>
      <c r="BP29" s="399">
        <f t="shared" si="29"/>
        <v>21.714285714285715</v>
      </c>
      <c r="BQ29" s="588"/>
      <c r="BR29" s="589"/>
      <c r="BS29" s="590"/>
      <c r="BT29" s="396">
        <f t="shared" si="30"/>
        <v>25</v>
      </c>
      <c r="BU29" s="397" t="str">
        <f t="shared" si="31"/>
        <v>to</v>
      </c>
      <c r="BV29" s="398" t="s">
        <v>229</v>
      </c>
      <c r="BW29" s="399" t="str">
        <f t="shared" si="32"/>
        <v/>
      </c>
      <c r="BX29" s="588"/>
      <c r="BY29" s="589"/>
      <c r="BZ29" s="590"/>
      <c r="CA29" s="396">
        <f t="shared" si="33"/>
        <v>25</v>
      </c>
      <c r="CB29" s="397" t="str">
        <f t="shared" si="34"/>
        <v>lø</v>
      </c>
      <c r="CC29" s="398" t="s">
        <v>240</v>
      </c>
      <c r="CD29" s="399" t="str">
        <f t="shared" si="35"/>
        <v/>
      </c>
      <c r="CE29" s="609"/>
      <c r="CF29" s="610"/>
      <c r="CG29" s="611"/>
      <c r="CH29" s="426"/>
      <c r="CI29" s="411" t="s">
        <v>218</v>
      </c>
      <c r="CJ29" s="412">
        <f t="shared" si="36"/>
        <v>0</v>
      </c>
      <c r="CK29" s="255"/>
      <c r="CL29" s="255"/>
    </row>
    <row r="30" spans="1:90" ht="18" customHeight="1">
      <c r="A30" s="368" t="s">
        <v>242</v>
      </c>
      <c r="B30" s="396">
        <f t="shared" si="0"/>
        <v>26</v>
      </c>
      <c r="C30" s="397" t="str">
        <f t="shared" si="1"/>
        <v>ma</v>
      </c>
      <c r="D30" s="398" t="s">
        <v>229</v>
      </c>
      <c r="E30" s="399">
        <f t="shared" si="2"/>
        <v>34.857142857142854</v>
      </c>
      <c r="F30" s="588"/>
      <c r="G30" s="589"/>
      <c r="H30" s="590"/>
      <c r="I30" s="396">
        <f t="shared" si="3"/>
        <v>26</v>
      </c>
      <c r="J30" s="397" t="str">
        <f t="shared" si="4"/>
        <v>to</v>
      </c>
      <c r="K30" s="398" t="s">
        <v>229</v>
      </c>
      <c r="L30" s="399" t="str">
        <f t="shared" si="5"/>
        <v/>
      </c>
      <c r="M30" s="588"/>
      <c r="N30" s="589"/>
      <c r="O30" s="590"/>
      <c r="P30" s="396">
        <f t="shared" si="6"/>
        <v>26</v>
      </c>
      <c r="Q30" s="397" t="str">
        <f t="shared" si="7"/>
        <v>lø</v>
      </c>
      <c r="R30" s="398" t="s">
        <v>240</v>
      </c>
      <c r="S30" s="399" t="str">
        <f t="shared" si="8"/>
        <v/>
      </c>
      <c r="T30" s="588"/>
      <c r="U30" s="589"/>
      <c r="V30" s="590"/>
      <c r="W30" s="396">
        <f t="shared" si="9"/>
        <v>26</v>
      </c>
      <c r="X30" s="397" t="str">
        <f t="shared" si="10"/>
        <v>ti</v>
      </c>
      <c r="Y30" s="398" t="s">
        <v>229</v>
      </c>
      <c r="Z30" s="399" t="str">
        <f t="shared" si="11"/>
        <v/>
      </c>
      <c r="AA30" s="588"/>
      <c r="AB30" s="589"/>
      <c r="AC30" s="590"/>
      <c r="AD30" s="396">
        <f t="shared" si="12"/>
        <v>26</v>
      </c>
      <c r="AE30" s="397" t="str">
        <f t="shared" si="13"/>
        <v>to</v>
      </c>
      <c r="AF30" s="398" t="s">
        <v>241</v>
      </c>
      <c r="AG30" s="399" t="str">
        <f t="shared" si="14"/>
        <v/>
      </c>
      <c r="AH30" s="588" t="s">
        <v>162</v>
      </c>
      <c r="AI30" s="589"/>
      <c r="AJ30" s="590"/>
      <c r="AK30" s="396">
        <f t="shared" si="15"/>
        <v>26</v>
      </c>
      <c r="AL30" s="397" t="str">
        <f t="shared" si="16"/>
        <v>sø</v>
      </c>
      <c r="AM30" s="398" t="s">
        <v>240</v>
      </c>
      <c r="AN30" s="399" t="str">
        <f t="shared" si="17"/>
        <v/>
      </c>
      <c r="AO30" s="591"/>
      <c r="AP30" s="592"/>
      <c r="AQ30" s="593"/>
      <c r="AR30" s="396">
        <f t="shared" si="18"/>
        <v>26</v>
      </c>
      <c r="AS30" s="397" t="str">
        <f t="shared" si="19"/>
        <v>on</v>
      </c>
      <c r="AT30" s="398" t="s">
        <v>229</v>
      </c>
      <c r="AU30" s="399" t="str">
        <f t="shared" si="20"/>
        <v/>
      </c>
      <c r="AV30" s="588"/>
      <c r="AW30" s="589"/>
      <c r="AX30" s="590"/>
      <c r="AY30" s="396">
        <f t="shared" si="21"/>
        <v>26</v>
      </c>
      <c r="AZ30" s="397" t="str">
        <f t="shared" si="22"/>
        <v>to</v>
      </c>
      <c r="BA30" s="398" t="s">
        <v>229</v>
      </c>
      <c r="BB30" s="399" t="str">
        <f t="shared" si="23"/>
        <v/>
      </c>
      <c r="BC30" s="588"/>
      <c r="BD30" s="589"/>
      <c r="BE30" s="590"/>
      <c r="BF30" s="396">
        <f t="shared" si="24"/>
        <v>26</v>
      </c>
      <c r="BG30" s="397" t="str">
        <f t="shared" si="25"/>
        <v>sø</v>
      </c>
      <c r="BH30" s="398" t="s">
        <v>240</v>
      </c>
      <c r="BI30" s="399" t="str">
        <f t="shared" si="26"/>
        <v/>
      </c>
      <c r="BJ30" s="588"/>
      <c r="BK30" s="589"/>
      <c r="BL30" s="590"/>
      <c r="BM30" s="396">
        <f t="shared" si="27"/>
        <v>26</v>
      </c>
      <c r="BN30" s="397" t="str">
        <f t="shared" si="28"/>
        <v>ti</v>
      </c>
      <c r="BO30" s="398" t="s">
        <v>229</v>
      </c>
      <c r="BP30" s="399" t="str">
        <f t="shared" si="29"/>
        <v/>
      </c>
      <c r="BQ30" s="588"/>
      <c r="BR30" s="589"/>
      <c r="BS30" s="590"/>
      <c r="BT30" s="396">
        <f t="shared" si="30"/>
        <v>26</v>
      </c>
      <c r="BU30" s="397" t="str">
        <f t="shared" si="31"/>
        <v>fr</v>
      </c>
      <c r="BV30" s="398" t="s">
        <v>229</v>
      </c>
      <c r="BW30" s="399" t="str">
        <f t="shared" si="32"/>
        <v/>
      </c>
      <c r="BX30" s="588"/>
      <c r="BY30" s="589"/>
      <c r="BZ30" s="590"/>
      <c r="CA30" s="396">
        <f t="shared" si="33"/>
        <v>26</v>
      </c>
      <c r="CB30" s="397" t="str">
        <f t="shared" si="34"/>
        <v>sø</v>
      </c>
      <c r="CC30" s="398" t="s">
        <v>240</v>
      </c>
      <c r="CD30" s="399" t="str">
        <f t="shared" si="35"/>
        <v/>
      </c>
      <c r="CE30" s="609"/>
      <c r="CF30" s="610"/>
      <c r="CG30" s="611"/>
      <c r="CH30" s="426"/>
      <c r="CI30" s="413" t="str">
        <f>CA41</f>
        <v>Weekend</v>
      </c>
      <c r="CJ30" s="414">
        <f t="shared" si="36"/>
        <v>104</v>
      </c>
      <c r="CK30" s="255"/>
      <c r="CL30" s="255"/>
    </row>
    <row r="31" spans="1:90" ht="18" customHeight="1">
      <c r="A31" s="357" t="s">
        <v>288</v>
      </c>
      <c r="B31" s="396">
        <f t="shared" si="0"/>
        <v>27</v>
      </c>
      <c r="C31" s="397" t="str">
        <f t="shared" si="1"/>
        <v>ti</v>
      </c>
      <c r="D31" s="398" t="s">
        <v>229</v>
      </c>
      <c r="E31" s="399" t="str">
        <f t="shared" si="2"/>
        <v/>
      </c>
      <c r="F31" s="588"/>
      <c r="G31" s="589"/>
      <c r="H31" s="590"/>
      <c r="I31" s="396">
        <f t="shared" si="3"/>
        <v>27</v>
      </c>
      <c r="J31" s="397" t="str">
        <f t="shared" si="4"/>
        <v>fr</v>
      </c>
      <c r="K31" s="398" t="s">
        <v>229</v>
      </c>
      <c r="L31" s="399" t="str">
        <f t="shared" si="5"/>
        <v/>
      </c>
      <c r="M31" s="588"/>
      <c r="N31" s="589"/>
      <c r="O31" s="590"/>
      <c r="P31" s="396">
        <f t="shared" si="6"/>
        <v>27</v>
      </c>
      <c r="Q31" s="397" t="str">
        <f t="shared" si="7"/>
        <v>sø</v>
      </c>
      <c r="R31" s="398" t="s">
        <v>240</v>
      </c>
      <c r="S31" s="399" t="str">
        <f t="shared" si="8"/>
        <v/>
      </c>
      <c r="T31" s="588"/>
      <c r="U31" s="589"/>
      <c r="V31" s="590"/>
      <c r="W31" s="396">
        <f t="shared" si="9"/>
        <v>27</v>
      </c>
      <c r="X31" s="397" t="str">
        <f t="shared" si="10"/>
        <v>on</v>
      </c>
      <c r="Y31" s="398" t="s">
        <v>229</v>
      </c>
      <c r="Z31" s="399" t="str">
        <f t="shared" si="11"/>
        <v/>
      </c>
      <c r="AA31" s="588"/>
      <c r="AB31" s="589"/>
      <c r="AC31" s="590"/>
      <c r="AD31" s="396">
        <f t="shared" si="12"/>
        <v>27</v>
      </c>
      <c r="AE31" s="397" t="str">
        <f t="shared" si="13"/>
        <v>fr</v>
      </c>
      <c r="AF31" s="398" t="s">
        <v>268</v>
      </c>
      <c r="AG31" s="399" t="str">
        <f t="shared" si="14"/>
        <v/>
      </c>
      <c r="AH31" s="588"/>
      <c r="AI31" s="589"/>
      <c r="AJ31" s="590"/>
      <c r="AK31" s="396">
        <f t="shared" si="15"/>
        <v>27</v>
      </c>
      <c r="AL31" s="397" t="str">
        <f t="shared" si="16"/>
        <v>ma</v>
      </c>
      <c r="AM31" s="398" t="s">
        <v>229</v>
      </c>
      <c r="AN31" s="399">
        <f t="shared" si="17"/>
        <v>4.7142857142857144</v>
      </c>
      <c r="AO31" s="591"/>
      <c r="AP31" s="592"/>
      <c r="AQ31" s="593"/>
      <c r="AR31" s="396">
        <f t="shared" si="18"/>
        <v>27</v>
      </c>
      <c r="AS31" s="397" t="str">
        <f t="shared" si="19"/>
        <v>to</v>
      </c>
      <c r="AT31" s="398" t="s">
        <v>229</v>
      </c>
      <c r="AU31" s="399" t="str">
        <f t="shared" si="20"/>
        <v/>
      </c>
      <c r="AV31" s="588"/>
      <c r="AW31" s="589"/>
      <c r="AX31" s="590"/>
      <c r="AY31" s="396">
        <f t="shared" si="21"/>
        <v>27</v>
      </c>
      <c r="AZ31" s="397" t="str">
        <f t="shared" si="22"/>
        <v>fr</v>
      </c>
      <c r="BA31" s="398" t="s">
        <v>229</v>
      </c>
      <c r="BB31" s="399" t="str">
        <f t="shared" si="23"/>
        <v/>
      </c>
      <c r="BC31" s="588"/>
      <c r="BD31" s="589"/>
      <c r="BE31" s="590"/>
      <c r="BF31" s="396">
        <f t="shared" si="24"/>
        <v>27</v>
      </c>
      <c r="BG31" s="397" t="str">
        <f t="shared" si="25"/>
        <v>ma</v>
      </c>
      <c r="BH31" s="398" t="s">
        <v>229</v>
      </c>
      <c r="BI31" s="399">
        <f t="shared" si="26"/>
        <v>17.714285714285715</v>
      </c>
      <c r="BJ31" s="588"/>
      <c r="BK31" s="589"/>
      <c r="BL31" s="590"/>
      <c r="BM31" s="396">
        <f t="shared" si="27"/>
        <v>27</v>
      </c>
      <c r="BN31" s="397" t="str">
        <f t="shared" si="28"/>
        <v>on</v>
      </c>
      <c r="BO31" s="398" t="s">
        <v>229</v>
      </c>
      <c r="BP31" s="399" t="str">
        <f t="shared" si="29"/>
        <v/>
      </c>
      <c r="BQ31" s="588"/>
      <c r="BR31" s="589"/>
      <c r="BS31" s="590"/>
      <c r="BT31" s="396">
        <f t="shared" si="30"/>
        <v>27</v>
      </c>
      <c r="BU31" s="397" t="str">
        <f t="shared" si="31"/>
        <v>lø</v>
      </c>
      <c r="BV31" s="398" t="s">
        <v>242</v>
      </c>
      <c r="BW31" s="399" t="str">
        <f t="shared" si="32"/>
        <v/>
      </c>
      <c r="BX31" s="588"/>
      <c r="BY31" s="589"/>
      <c r="BZ31" s="590"/>
      <c r="CA31" s="396">
        <f t="shared" si="33"/>
        <v>27</v>
      </c>
      <c r="CB31" s="397" t="str">
        <f t="shared" si="34"/>
        <v>ma</v>
      </c>
      <c r="CC31" s="398" t="s">
        <v>221</v>
      </c>
      <c r="CD31" s="399">
        <f t="shared" si="35"/>
        <v>30.714285714285715</v>
      </c>
      <c r="CE31" s="609" t="s">
        <v>224</v>
      </c>
      <c r="CF31" s="610"/>
      <c r="CG31" s="611"/>
      <c r="CH31" s="426"/>
      <c r="CI31" s="415" t="s">
        <v>265</v>
      </c>
      <c r="CJ31" s="416">
        <f t="shared" si="36"/>
        <v>9</v>
      </c>
      <c r="CK31" s="255"/>
      <c r="CL31" s="255"/>
    </row>
    <row r="32" spans="1:90" ht="18" customHeight="1">
      <c r="A32" s="342" t="s">
        <v>289</v>
      </c>
      <c r="B32" s="396">
        <f t="shared" si="0"/>
        <v>28</v>
      </c>
      <c r="C32" s="397" t="str">
        <f t="shared" si="1"/>
        <v>on</v>
      </c>
      <c r="D32" s="398" t="s">
        <v>229</v>
      </c>
      <c r="E32" s="399" t="str">
        <f t="shared" si="2"/>
        <v/>
      </c>
      <c r="F32" s="588"/>
      <c r="G32" s="589"/>
      <c r="H32" s="590"/>
      <c r="I32" s="396">
        <f t="shared" si="3"/>
        <v>28</v>
      </c>
      <c r="J32" s="397" t="str">
        <f t="shared" si="4"/>
        <v>lø</v>
      </c>
      <c r="K32" s="398" t="s">
        <v>240</v>
      </c>
      <c r="L32" s="399" t="str">
        <f t="shared" si="5"/>
        <v/>
      </c>
      <c r="M32" s="588"/>
      <c r="N32" s="589"/>
      <c r="O32" s="590"/>
      <c r="P32" s="396">
        <f t="shared" si="6"/>
        <v>28</v>
      </c>
      <c r="Q32" s="397" t="str">
        <f t="shared" si="7"/>
        <v>ma</v>
      </c>
      <c r="R32" s="398" t="s">
        <v>229</v>
      </c>
      <c r="S32" s="399">
        <f t="shared" si="8"/>
        <v>43.857142857142854</v>
      </c>
      <c r="T32" s="588"/>
      <c r="U32" s="589"/>
      <c r="V32" s="590"/>
      <c r="W32" s="396">
        <f t="shared" si="9"/>
        <v>28</v>
      </c>
      <c r="X32" s="397" t="str">
        <f t="shared" si="10"/>
        <v>to</v>
      </c>
      <c r="Y32" s="398" t="s">
        <v>229</v>
      </c>
      <c r="Z32" s="399" t="str">
        <f t="shared" si="11"/>
        <v/>
      </c>
      <c r="AA32" s="588"/>
      <c r="AB32" s="589"/>
      <c r="AC32" s="590"/>
      <c r="AD32" s="396">
        <f t="shared" si="12"/>
        <v>28</v>
      </c>
      <c r="AE32" s="397" t="str">
        <f t="shared" si="13"/>
        <v>lø</v>
      </c>
      <c r="AF32" s="398" t="s">
        <v>240</v>
      </c>
      <c r="AG32" s="399" t="str">
        <f t="shared" si="14"/>
        <v/>
      </c>
      <c r="AH32" s="588"/>
      <c r="AI32" s="589"/>
      <c r="AJ32" s="590"/>
      <c r="AK32" s="396">
        <f t="shared" si="15"/>
        <v>28</v>
      </c>
      <c r="AL32" s="397" t="str">
        <f t="shared" si="16"/>
        <v>ti</v>
      </c>
      <c r="AM32" s="398" t="s">
        <v>229</v>
      </c>
      <c r="AN32" s="399" t="str">
        <f t="shared" si="17"/>
        <v/>
      </c>
      <c r="AO32" s="591"/>
      <c r="AP32" s="592"/>
      <c r="AQ32" s="593"/>
      <c r="AR32" s="396">
        <f t="shared" si="18"/>
        <v>28</v>
      </c>
      <c r="AS32" s="397" t="str">
        <f t="shared" si="19"/>
        <v>fr</v>
      </c>
      <c r="AT32" s="398" t="s">
        <v>229</v>
      </c>
      <c r="AU32" s="399" t="str">
        <f t="shared" si="20"/>
        <v/>
      </c>
      <c r="AV32" s="591"/>
      <c r="AW32" s="592"/>
      <c r="AX32" s="593"/>
      <c r="AY32" s="396">
        <f t="shared" si="21"/>
        <v>28</v>
      </c>
      <c r="AZ32" s="397" t="str">
        <f t="shared" si="22"/>
        <v>lø</v>
      </c>
      <c r="BA32" s="398" t="s">
        <v>240</v>
      </c>
      <c r="BB32" s="399" t="str">
        <f t="shared" si="23"/>
        <v/>
      </c>
      <c r="BC32" s="588"/>
      <c r="BD32" s="589"/>
      <c r="BE32" s="590"/>
      <c r="BF32" s="396">
        <f t="shared" si="24"/>
        <v>28</v>
      </c>
      <c r="BG32" s="397" t="str">
        <f t="shared" si="25"/>
        <v>ti</v>
      </c>
      <c r="BH32" s="398" t="s">
        <v>229</v>
      </c>
      <c r="BI32" s="399" t="str">
        <f t="shared" si="26"/>
        <v/>
      </c>
      <c r="BJ32" s="588"/>
      <c r="BK32" s="589"/>
      <c r="BL32" s="590"/>
      <c r="BM32" s="396">
        <f t="shared" si="27"/>
        <v>28</v>
      </c>
      <c r="BN32" s="397" t="str">
        <f t="shared" si="28"/>
        <v>to</v>
      </c>
      <c r="BO32" s="398" t="s">
        <v>229</v>
      </c>
      <c r="BP32" s="399" t="str">
        <f t="shared" si="29"/>
        <v/>
      </c>
      <c r="BQ32" s="588"/>
      <c r="BR32" s="589"/>
      <c r="BS32" s="590"/>
      <c r="BT32" s="396">
        <f t="shared" si="30"/>
        <v>28</v>
      </c>
      <c r="BU32" s="397" t="str">
        <f t="shared" si="31"/>
        <v>sø</v>
      </c>
      <c r="BV32" s="398" t="s">
        <v>242</v>
      </c>
      <c r="BW32" s="399" t="str">
        <f t="shared" si="32"/>
        <v/>
      </c>
      <c r="BX32" s="588"/>
      <c r="BY32" s="589"/>
      <c r="BZ32" s="590"/>
      <c r="CA32" s="396">
        <f t="shared" si="33"/>
        <v>28</v>
      </c>
      <c r="CB32" s="397" t="str">
        <f t="shared" si="34"/>
        <v>ti</v>
      </c>
      <c r="CC32" s="398" t="s">
        <v>221</v>
      </c>
      <c r="CD32" s="399" t="str">
        <f t="shared" si="35"/>
        <v/>
      </c>
      <c r="CE32" s="609" t="s">
        <v>224</v>
      </c>
      <c r="CF32" s="610"/>
      <c r="CG32" s="611"/>
      <c r="CH32" s="426"/>
      <c r="CI32" s="417" t="s">
        <v>217</v>
      </c>
      <c r="CJ32" s="418">
        <f t="shared" si="36"/>
        <v>21</v>
      </c>
      <c r="CK32" s="255"/>
      <c r="CL32" s="255"/>
    </row>
    <row r="33" spans="1:90" ht="18" customHeight="1">
      <c r="A33" s="216" t="s">
        <v>295</v>
      </c>
      <c r="B33" s="396">
        <f t="shared" si="0"/>
        <v>29</v>
      </c>
      <c r="C33" s="397" t="str">
        <f t="shared" si="1"/>
        <v>to</v>
      </c>
      <c r="D33" s="398" t="s">
        <v>229</v>
      </c>
      <c r="E33" s="399" t="str">
        <f t="shared" si="2"/>
        <v/>
      </c>
      <c r="F33" s="588"/>
      <c r="G33" s="589"/>
      <c r="H33" s="590"/>
      <c r="I33" s="396">
        <f t="shared" si="3"/>
        <v>29</v>
      </c>
      <c r="J33" s="397" t="str">
        <f t="shared" si="4"/>
        <v>sø</v>
      </c>
      <c r="K33" s="398" t="s">
        <v>240</v>
      </c>
      <c r="L33" s="399" t="str">
        <f t="shared" si="5"/>
        <v/>
      </c>
      <c r="M33" s="588"/>
      <c r="N33" s="589"/>
      <c r="O33" s="590"/>
      <c r="P33" s="396">
        <f t="shared" si="6"/>
        <v>29</v>
      </c>
      <c r="Q33" s="397" t="str">
        <f t="shared" si="7"/>
        <v>ti</v>
      </c>
      <c r="R33" s="398" t="s">
        <v>229</v>
      </c>
      <c r="S33" s="399" t="str">
        <f t="shared" si="8"/>
        <v/>
      </c>
      <c r="T33" s="588"/>
      <c r="U33" s="589"/>
      <c r="V33" s="590"/>
      <c r="W33" s="396">
        <f t="shared" si="9"/>
        <v>29</v>
      </c>
      <c r="X33" s="397" t="str">
        <f t="shared" si="10"/>
        <v>fr</v>
      </c>
      <c r="Y33" s="398" t="s">
        <v>229</v>
      </c>
      <c r="Z33" s="399" t="str">
        <f t="shared" si="11"/>
        <v/>
      </c>
      <c r="AA33" s="588"/>
      <c r="AB33" s="589"/>
      <c r="AC33" s="590"/>
      <c r="AD33" s="396">
        <f t="shared" si="12"/>
        <v>29</v>
      </c>
      <c r="AE33" s="397" t="str">
        <f t="shared" si="13"/>
        <v>sø</v>
      </c>
      <c r="AF33" s="398" t="s">
        <v>240</v>
      </c>
      <c r="AG33" s="399" t="str">
        <f t="shared" si="14"/>
        <v/>
      </c>
      <c r="AH33" s="588"/>
      <c r="AI33" s="589"/>
      <c r="AJ33" s="590"/>
      <c r="AK33" s="396">
        <f t="shared" si="15"/>
        <v>29</v>
      </c>
      <c r="AL33" s="397" t="str">
        <f t="shared" si="16"/>
        <v>on</v>
      </c>
      <c r="AM33" s="398" t="s">
        <v>229</v>
      </c>
      <c r="AN33" s="399" t="str">
        <f t="shared" si="17"/>
        <v/>
      </c>
      <c r="AO33" s="591"/>
      <c r="AP33" s="592"/>
      <c r="AQ33" s="593"/>
      <c r="AR33" s="396">
        <f t="shared" si="18"/>
        <v>29</v>
      </c>
      <c r="AS33" s="397" t="str">
        <f t="shared" ref="AS33" si="37">CHOOSE(MOD(WEEKDAY(DATE(AR$3,AR$2,AR33)),7)+1,"lø","sø","ma","ti","on","to","fr",)</f>
        <v>lø</v>
      </c>
      <c r="AT33" s="398" t="s">
        <v>240</v>
      </c>
      <c r="AU33" s="399" t="str">
        <f t="shared" ref="AU33" si="38">IF(AS33="ma",(DATE(AR$3,AR$2,AR33)-DATE(AR$3,1,1)+7)/7,"")</f>
        <v/>
      </c>
      <c r="AV33" s="591"/>
      <c r="AW33" s="592"/>
      <c r="AX33" s="593"/>
      <c r="AY33" s="396">
        <f t="shared" si="21"/>
        <v>29</v>
      </c>
      <c r="AZ33" s="397" t="str">
        <f t="shared" si="22"/>
        <v>sø</v>
      </c>
      <c r="BA33" s="398" t="s">
        <v>240</v>
      </c>
      <c r="BB33" s="399" t="str">
        <f t="shared" si="23"/>
        <v/>
      </c>
      <c r="BC33" s="588"/>
      <c r="BD33" s="589"/>
      <c r="BE33" s="590"/>
      <c r="BF33" s="396">
        <f t="shared" si="24"/>
        <v>29</v>
      </c>
      <c r="BG33" s="397" t="str">
        <f t="shared" si="25"/>
        <v>on</v>
      </c>
      <c r="BH33" s="398" t="s">
        <v>229</v>
      </c>
      <c r="BI33" s="399" t="str">
        <f t="shared" si="26"/>
        <v/>
      </c>
      <c r="BJ33" s="588"/>
      <c r="BK33" s="589"/>
      <c r="BL33" s="590"/>
      <c r="BM33" s="396">
        <f t="shared" si="27"/>
        <v>29</v>
      </c>
      <c r="BN33" s="397" t="str">
        <f t="shared" si="28"/>
        <v>fr</v>
      </c>
      <c r="BO33" s="398" t="s">
        <v>229</v>
      </c>
      <c r="BP33" s="399" t="str">
        <f t="shared" si="29"/>
        <v/>
      </c>
      <c r="BQ33" s="588"/>
      <c r="BR33" s="589"/>
      <c r="BS33" s="590"/>
      <c r="BT33" s="396">
        <f t="shared" si="30"/>
        <v>29</v>
      </c>
      <c r="BU33" s="397" t="str">
        <f t="shared" si="31"/>
        <v>ma</v>
      </c>
      <c r="BV33" s="398" t="s">
        <v>268</v>
      </c>
      <c r="BW33" s="399">
        <f t="shared" si="32"/>
        <v>26.714285714285715</v>
      </c>
      <c r="BX33" s="588"/>
      <c r="BY33" s="589"/>
      <c r="BZ33" s="590"/>
      <c r="CA33" s="396">
        <f t="shared" si="33"/>
        <v>29</v>
      </c>
      <c r="CB33" s="397" t="str">
        <f t="shared" si="34"/>
        <v>on</v>
      </c>
      <c r="CC33" s="398" t="s">
        <v>221</v>
      </c>
      <c r="CD33" s="399" t="str">
        <f t="shared" si="35"/>
        <v/>
      </c>
      <c r="CE33" s="609" t="s">
        <v>224</v>
      </c>
      <c r="CF33" s="610"/>
      <c r="CG33" s="611"/>
      <c r="CH33" s="426"/>
      <c r="CI33" s="505" t="str">
        <f>CA44</f>
        <v>Nul--dage</v>
      </c>
      <c r="CJ33" s="506">
        <f t="shared" si="36"/>
        <v>32</v>
      </c>
      <c r="CK33" s="255"/>
      <c r="CL33" s="255"/>
    </row>
    <row r="34" spans="1:90" ht="18" customHeight="1">
      <c r="A34" s="364" t="s">
        <v>290</v>
      </c>
      <c r="B34" s="396">
        <f t="shared" si="0"/>
        <v>30</v>
      </c>
      <c r="C34" s="397" t="str">
        <f t="shared" si="1"/>
        <v>fr</v>
      </c>
      <c r="D34" s="398" t="s">
        <v>229</v>
      </c>
      <c r="E34" s="399" t="str">
        <f t="shared" si="2"/>
        <v/>
      </c>
      <c r="F34" s="588"/>
      <c r="G34" s="589"/>
      <c r="H34" s="590"/>
      <c r="I34" s="396">
        <f t="shared" si="3"/>
        <v>30</v>
      </c>
      <c r="J34" s="397" t="str">
        <f t="shared" si="4"/>
        <v>ma</v>
      </c>
      <c r="K34" s="398" t="s">
        <v>229</v>
      </c>
      <c r="L34" s="399">
        <f t="shared" si="5"/>
        <v>39.857142857142854</v>
      </c>
      <c r="M34" s="591"/>
      <c r="N34" s="592"/>
      <c r="O34" s="593"/>
      <c r="P34" s="396">
        <f t="shared" si="6"/>
        <v>30</v>
      </c>
      <c r="Q34" s="397" t="str">
        <f t="shared" si="7"/>
        <v>on</v>
      </c>
      <c r="R34" s="398" t="s">
        <v>229</v>
      </c>
      <c r="S34" s="399" t="str">
        <f t="shared" si="8"/>
        <v/>
      </c>
      <c r="T34" s="588"/>
      <c r="U34" s="589"/>
      <c r="V34" s="590"/>
      <c r="W34" s="396">
        <f t="shared" si="9"/>
        <v>30</v>
      </c>
      <c r="X34" s="397" t="str">
        <f t="shared" si="10"/>
        <v>lø</v>
      </c>
      <c r="Y34" s="398" t="s">
        <v>240</v>
      </c>
      <c r="Z34" s="399" t="str">
        <f t="shared" si="11"/>
        <v/>
      </c>
      <c r="AA34" s="591"/>
      <c r="AB34" s="592"/>
      <c r="AC34" s="593"/>
      <c r="AD34" s="396">
        <f t="shared" si="12"/>
        <v>30</v>
      </c>
      <c r="AE34" s="397" t="str">
        <f t="shared" si="13"/>
        <v>ma</v>
      </c>
      <c r="AF34" s="398" t="s">
        <v>342</v>
      </c>
      <c r="AG34" s="399">
        <v>1</v>
      </c>
      <c r="AH34" s="588"/>
      <c r="AI34" s="589"/>
      <c r="AJ34" s="590"/>
      <c r="AK34" s="396">
        <f t="shared" si="15"/>
        <v>30</v>
      </c>
      <c r="AL34" s="397" t="str">
        <f t="shared" si="16"/>
        <v>to</v>
      </c>
      <c r="AM34" s="398" t="s">
        <v>229</v>
      </c>
      <c r="AN34" s="399" t="str">
        <f t="shared" si="17"/>
        <v/>
      </c>
      <c r="AO34" s="591"/>
      <c r="AP34" s="592"/>
      <c r="AQ34" s="593"/>
      <c r="AR34" s="261"/>
      <c r="AS34" s="261"/>
      <c r="AT34" s="260"/>
      <c r="AU34" s="264"/>
      <c r="AV34" s="259"/>
      <c r="AW34" s="259"/>
      <c r="AX34" s="259"/>
      <c r="AY34" s="396">
        <f t="shared" si="21"/>
        <v>30</v>
      </c>
      <c r="AZ34" s="397" t="str">
        <f t="shared" si="22"/>
        <v>ma</v>
      </c>
      <c r="BA34" s="398" t="s">
        <v>229</v>
      </c>
      <c r="BB34" s="399">
        <f t="shared" si="23"/>
        <v>13.714285714285714</v>
      </c>
      <c r="BC34" s="588"/>
      <c r="BD34" s="589"/>
      <c r="BE34" s="590"/>
      <c r="BF34" s="396">
        <f t="shared" si="24"/>
        <v>30</v>
      </c>
      <c r="BG34" s="397" t="str">
        <f t="shared" si="25"/>
        <v>to</v>
      </c>
      <c r="BH34" s="398" t="s">
        <v>229</v>
      </c>
      <c r="BI34" s="399" t="str">
        <f t="shared" si="26"/>
        <v/>
      </c>
      <c r="BJ34" s="591"/>
      <c r="BK34" s="592"/>
      <c r="BL34" s="593"/>
      <c r="BM34" s="396">
        <f t="shared" si="27"/>
        <v>30</v>
      </c>
      <c r="BN34" s="397" t="str">
        <f t="shared" si="28"/>
        <v>lø</v>
      </c>
      <c r="BO34" s="398" t="s">
        <v>240</v>
      </c>
      <c r="BP34" s="399" t="str">
        <f t="shared" si="29"/>
        <v/>
      </c>
      <c r="BQ34" s="588"/>
      <c r="BR34" s="589"/>
      <c r="BS34" s="590"/>
      <c r="BT34" s="396">
        <f t="shared" si="30"/>
        <v>30</v>
      </c>
      <c r="BU34" s="397" t="str">
        <f t="shared" si="31"/>
        <v>ti</v>
      </c>
      <c r="BV34" s="398" t="s">
        <v>268</v>
      </c>
      <c r="BW34" s="399" t="str">
        <f t="shared" si="32"/>
        <v/>
      </c>
      <c r="BX34" s="591"/>
      <c r="BY34" s="592"/>
      <c r="BZ34" s="593"/>
      <c r="CA34" s="396">
        <f t="shared" si="33"/>
        <v>30</v>
      </c>
      <c r="CB34" s="397" t="str">
        <f t="shared" si="34"/>
        <v>to</v>
      </c>
      <c r="CC34" s="398" t="s">
        <v>221</v>
      </c>
      <c r="CD34" s="399" t="str">
        <f t="shared" si="35"/>
        <v/>
      </c>
      <c r="CE34" s="609" t="s">
        <v>224</v>
      </c>
      <c r="CF34" s="610"/>
      <c r="CG34" s="611"/>
      <c r="CH34" s="426"/>
      <c r="CI34" s="503" t="s">
        <v>353</v>
      </c>
      <c r="CJ34" s="504">
        <f t="shared" si="36"/>
        <v>0</v>
      </c>
      <c r="CK34" s="255"/>
      <c r="CL34" s="255"/>
    </row>
    <row r="35" spans="1:90" ht="18" customHeight="1" thickBot="1">
      <c r="A35" s="365" t="s">
        <v>291</v>
      </c>
      <c r="B35" s="396">
        <f>IF(ISNUMBER(B34),B34+1,1)</f>
        <v>31</v>
      </c>
      <c r="C35" s="397" t="str">
        <f>CHOOSE(MOD(WEEKDAY(DATE(B$3,B$2,B35)),7)+1,"lø","sø","ma","ti","on","to","fr",)</f>
        <v>lø</v>
      </c>
      <c r="D35" s="398" t="s">
        <v>240</v>
      </c>
      <c r="E35" s="399" t="str">
        <f>IF(C35="ma",(DATE(B$3,B$2,B35)-DATE(B$3,1,1)+7)/7,"")</f>
        <v/>
      </c>
      <c r="F35" s="591"/>
      <c r="G35" s="592"/>
      <c r="H35" s="593"/>
      <c r="I35" s="263"/>
      <c r="J35" s="263"/>
      <c r="K35" s="262"/>
      <c r="L35" s="262"/>
      <c r="M35" s="259"/>
      <c r="N35" s="259"/>
      <c r="O35" s="259"/>
      <c r="P35" s="396">
        <f>IF(ISNUMBER(P34),P34+1,1)</f>
        <v>31</v>
      </c>
      <c r="Q35" s="397" t="str">
        <f>CHOOSE(MOD(WEEKDAY(DATE(P$3,P$2,P35)),7)+1,"lø","sø","ma","ti","on","to","fr",)</f>
        <v>to</v>
      </c>
      <c r="R35" s="398" t="s">
        <v>229</v>
      </c>
      <c r="S35" s="399" t="str">
        <f>IF(Q35="ma",(DATE(P$3,P$2,P35)-DATE(P$3,1,1)+7)/7,"")</f>
        <v/>
      </c>
      <c r="T35" s="591"/>
      <c r="U35" s="592"/>
      <c r="V35" s="593"/>
      <c r="W35" s="263"/>
      <c r="X35" s="263"/>
      <c r="Y35" s="262"/>
      <c r="Z35" s="262"/>
      <c r="AA35" s="259"/>
      <c r="AB35" s="259"/>
      <c r="AC35" s="259"/>
      <c r="AD35" s="396">
        <f>IF(ISNUMBER(AD34),AD34+1,1)</f>
        <v>31</v>
      </c>
      <c r="AE35" s="397" t="str">
        <f>CHOOSE(MOD(WEEKDAY(DATE(AD$3,AD$2,AD35)),7)+1,"lø","sø","ma","ti","on","to","fr",)</f>
        <v>ti</v>
      </c>
      <c r="AF35" s="398" t="s">
        <v>342</v>
      </c>
      <c r="AG35" s="399" t="str">
        <f>IF(AE35="ma",(DATE(AD$3,AD$2,AD35)-DATE(AD$3,1,1)+7)/7-AG28,"")</f>
        <v/>
      </c>
      <c r="AH35" s="588" t="s">
        <v>269</v>
      </c>
      <c r="AI35" s="589"/>
      <c r="AJ35" s="590"/>
      <c r="AK35" s="396">
        <f>IF(ISNUMBER(AK34),AK34+1,1)</f>
        <v>31</v>
      </c>
      <c r="AL35" s="397" t="str">
        <f>CHOOSE(MOD(WEEKDAY(DATE(AK$3,AK$2,AK35)),7)+1,"lø","sø","ma","ti","on","to","fr",)</f>
        <v>fr</v>
      </c>
      <c r="AM35" s="398" t="s">
        <v>229</v>
      </c>
      <c r="AN35" s="399" t="str">
        <f>IF(AL35="ma",(DATE(AK$3,AK$2,AK35)-DATE(AK$3,1,1)+7)/7,"")</f>
        <v/>
      </c>
      <c r="AO35" s="591"/>
      <c r="AP35" s="592"/>
      <c r="AQ35" s="593"/>
      <c r="AR35" s="261"/>
      <c r="AS35" s="261"/>
      <c r="AT35" s="260"/>
      <c r="AU35" s="260"/>
      <c r="AV35" s="259"/>
      <c r="AW35" s="259"/>
      <c r="AX35" s="259"/>
      <c r="AY35" s="396">
        <f>IF(ISNUMBER(AY34),AY34+1,1)</f>
        <v>31</v>
      </c>
      <c r="AZ35" s="397" t="str">
        <f>CHOOSE(MOD(WEEKDAY(DATE(AY$3,AY$2,AY35)),7)+1,"lø","sø","ma","ti","on","to","fr",)</f>
        <v>ti</v>
      </c>
      <c r="BA35" s="398" t="s">
        <v>229</v>
      </c>
      <c r="BB35" s="399" t="str">
        <f>IF(AZ35="ma",(DATE(AY$3,AY$2,AY35)-DATE(AY$3,1,1)+7)/7,"")</f>
        <v/>
      </c>
      <c r="BC35" s="591"/>
      <c r="BD35" s="592"/>
      <c r="BE35" s="593"/>
      <c r="BF35" s="256"/>
      <c r="BG35" s="256"/>
      <c r="BH35" s="256"/>
      <c r="BI35" s="256"/>
      <c r="BJ35" s="259"/>
      <c r="BK35" s="259"/>
      <c r="BL35" s="259"/>
      <c r="BM35" s="396">
        <f>IF(ISNUMBER(BM34),BM34+1,1)</f>
        <v>31</v>
      </c>
      <c r="BN35" s="397" t="str">
        <f>CHOOSE(MOD(WEEKDAY(DATE(BM$3,BM$2,BM35)),7)+1,"lø","sø","ma","ti","on","to","fr",)</f>
        <v>sø</v>
      </c>
      <c r="BO35" s="398" t="s">
        <v>240</v>
      </c>
      <c r="BP35" s="399" t="str">
        <f>IF(BN35="ma",(DATE(BM$3,BM$2,BM35)-DATE(BM$3,1,1)+7)/7,"")</f>
        <v/>
      </c>
      <c r="BQ35" s="588"/>
      <c r="BR35" s="589"/>
      <c r="BS35" s="590"/>
      <c r="BT35" s="256"/>
      <c r="BU35" s="256"/>
      <c r="BV35" s="256"/>
      <c r="BW35" s="256"/>
      <c r="BX35" s="259"/>
      <c r="BY35" s="259"/>
      <c r="BZ35" s="259"/>
      <c r="CA35" s="396">
        <f>IF(ISNUMBER(CA34),CA34+1,1)</f>
        <v>31</v>
      </c>
      <c r="CB35" s="397" t="str">
        <f>CHOOSE(MOD(WEEKDAY(DATE(CA$3,CA$2,CA35)),7)+1,"lø","sø","ma","ti","on","to","fr",)</f>
        <v>fr</v>
      </c>
      <c r="CC35" s="398" t="s">
        <v>221</v>
      </c>
      <c r="CD35" s="399" t="str">
        <f>IF(CB35="ma",(DATE(CA$3,CA$2,CA35)-DATE(CA$3,1,1)+7)/7,"")</f>
        <v/>
      </c>
      <c r="CE35" s="591" t="s">
        <v>224</v>
      </c>
      <c r="CF35" s="592"/>
      <c r="CG35" s="593"/>
      <c r="CH35" s="426"/>
      <c r="CI35" s="419" t="s">
        <v>355</v>
      </c>
      <c r="CJ35" s="420">
        <f>CD46+BW46+BP46+BI46+BB46+AU46+AN46+AG46+Z46+L46+E46+S46-CJ34</f>
        <v>366</v>
      </c>
      <c r="CK35" s="255"/>
      <c r="CL35" s="255"/>
    </row>
    <row r="36" spans="1:90" s="229" customFormat="1" ht="13" customHeight="1" thickTop="1">
      <c r="A36" s="366" t="s">
        <v>292</v>
      </c>
      <c r="B36" s="233"/>
      <c r="C36" s="252"/>
      <c r="D36" s="233"/>
      <c r="E36" s="233"/>
      <c r="F36" s="253"/>
      <c r="G36" s="253"/>
      <c r="H36" s="253"/>
      <c r="I36" s="253"/>
      <c r="J36" s="254"/>
      <c r="K36" s="253"/>
      <c r="L36" s="253"/>
      <c r="M36" s="253"/>
      <c r="N36" s="253"/>
      <c r="O36" s="253"/>
      <c r="P36" s="233"/>
      <c r="Q36" s="252"/>
      <c r="R36" s="233"/>
      <c r="S36" s="233"/>
      <c r="T36" s="253"/>
      <c r="U36" s="253"/>
      <c r="V36" s="253"/>
      <c r="W36" s="253"/>
      <c r="X36" s="254"/>
      <c r="Y36" s="253"/>
      <c r="Z36" s="253"/>
      <c r="AA36" s="253"/>
      <c r="AB36" s="253"/>
      <c r="AC36" s="253"/>
      <c r="AD36" s="233"/>
      <c r="AE36" s="252"/>
      <c r="AF36" s="233"/>
      <c r="AG36" s="233"/>
      <c r="AH36" s="233"/>
      <c r="AI36" s="233"/>
      <c r="AJ36" s="233"/>
      <c r="AK36" s="233"/>
      <c r="AL36" s="252"/>
      <c r="AM36" s="233"/>
      <c r="AN36" s="233"/>
      <c r="AO36" s="233"/>
      <c r="AP36" s="253"/>
      <c r="AQ36" s="253"/>
      <c r="AR36" s="253"/>
      <c r="AS36" s="254"/>
      <c r="AT36" s="253"/>
      <c r="AU36" s="253"/>
      <c r="AV36" s="253"/>
      <c r="AW36" s="253"/>
      <c r="AX36" s="253"/>
      <c r="AY36" s="233"/>
      <c r="AZ36" s="252"/>
      <c r="BA36" s="233"/>
      <c r="BB36" s="233"/>
      <c r="BC36" s="253"/>
      <c r="BD36" s="253"/>
      <c r="BE36" s="253"/>
      <c r="BF36" s="253"/>
      <c r="BG36" s="254"/>
      <c r="BH36" s="253"/>
      <c r="BI36" s="253"/>
      <c r="BJ36" s="253"/>
      <c r="BK36" s="253"/>
      <c r="BL36" s="253"/>
      <c r="BM36" s="233"/>
      <c r="BN36" s="252"/>
      <c r="BO36" s="233"/>
      <c r="BP36" s="233"/>
      <c r="BQ36" s="253"/>
      <c r="BR36" s="253"/>
      <c r="BS36" s="253"/>
      <c r="BT36" s="253"/>
      <c r="BU36" s="254"/>
      <c r="BV36" s="253"/>
      <c r="BW36" s="253"/>
      <c r="BX36" s="253"/>
      <c r="BY36" s="253"/>
      <c r="BZ36" s="253"/>
      <c r="CA36" s="233"/>
      <c r="CB36" s="252"/>
      <c r="CC36" s="233"/>
      <c r="CD36" s="233"/>
      <c r="CE36" s="253"/>
      <c r="CF36" s="253"/>
      <c r="CG36" s="253"/>
      <c r="CH36" s="395"/>
      <c r="CI36" s="253"/>
      <c r="CJ36" s="421"/>
    </row>
    <row r="37" spans="1:90" s="229" customFormat="1" ht="13" customHeight="1">
      <c r="A37" s="343" t="s">
        <v>293</v>
      </c>
      <c r="B37" s="231" t="s">
        <v>222</v>
      </c>
      <c r="C37" s="233"/>
      <c r="D37" s="233"/>
      <c r="E37" s="230">
        <f>COUNTIF(august,"skoledag")</f>
        <v>15</v>
      </c>
      <c r="F37" s="402" t="s">
        <v>393</v>
      </c>
      <c r="G37" s="231" t="s">
        <v>215</v>
      </c>
      <c r="H37" s="249">
        <f>COUNTIFS($C$5:$C$35,"ma",august,"skoledag")</f>
        <v>3</v>
      </c>
      <c r="I37" s="586" t="s">
        <v>222</v>
      </c>
      <c r="J37" s="587"/>
      <c r="K37" s="587"/>
      <c r="L37" s="230">
        <f>COUNTIF(september,"skoledag")</f>
        <v>21</v>
      </c>
      <c r="M37" s="402" t="s">
        <v>393</v>
      </c>
      <c r="N37" s="231" t="s">
        <v>215</v>
      </c>
      <c r="O37" s="249">
        <f>COUNTIFS($J$5:$J$34,"ma",september,"skoledag")</f>
        <v>5</v>
      </c>
      <c r="P37" s="231" t="s">
        <v>222</v>
      </c>
      <c r="Q37" s="233"/>
      <c r="R37" s="233"/>
      <c r="S37" s="230">
        <f>COUNTIF(oktober,"skoledag")</f>
        <v>18</v>
      </c>
      <c r="T37" s="402" t="s">
        <v>393</v>
      </c>
      <c r="U37" s="231" t="s">
        <v>215</v>
      </c>
      <c r="V37" s="249">
        <f>COUNTIFS($Q$5:$Q$35,"ma",oktober,"skoledag")</f>
        <v>3</v>
      </c>
      <c r="W37" s="231" t="s">
        <v>222</v>
      </c>
      <c r="X37" s="233"/>
      <c r="Y37" s="233"/>
      <c r="Z37" s="230">
        <f>COUNTIF(november,"skoledag")</f>
        <v>21</v>
      </c>
      <c r="AA37" s="402" t="s">
        <v>393</v>
      </c>
      <c r="AB37" s="250" t="s">
        <v>215</v>
      </c>
      <c r="AC37" s="249">
        <f>COUNTIFS($X$5:$X$34,"ma",november,"skoledag")</f>
        <v>4</v>
      </c>
      <c r="AD37" s="231" t="s">
        <v>222</v>
      </c>
      <c r="AE37" s="233"/>
      <c r="AF37" s="233"/>
      <c r="AG37" s="230">
        <f>COUNTIF(december,"skoledag")</f>
        <v>15</v>
      </c>
      <c r="AH37" s="402" t="s">
        <v>393</v>
      </c>
      <c r="AI37" s="250" t="s">
        <v>215</v>
      </c>
      <c r="AJ37" s="249">
        <f>COUNTIFS($AE$5:$AE$35,"ma",december,"skoledag")</f>
        <v>3</v>
      </c>
      <c r="AK37" s="231" t="s">
        <v>222</v>
      </c>
      <c r="AL37" s="233"/>
      <c r="AM37" s="233"/>
      <c r="AN37" s="230">
        <f>COUNTIF(januar,"skoledag")</f>
        <v>20</v>
      </c>
      <c r="AO37" s="402" t="s">
        <v>393</v>
      </c>
      <c r="AP37" s="250" t="s">
        <v>215</v>
      </c>
      <c r="AQ37" s="249">
        <f>COUNTIFS($AL$5:$AL$35,"ma",januar,"skoledag")</f>
        <v>4</v>
      </c>
      <c r="AR37" s="250" t="s">
        <v>222</v>
      </c>
      <c r="AS37" s="251"/>
      <c r="AT37" s="251"/>
      <c r="AU37" s="249">
        <f>COUNTIF(februar,"skoledag")</f>
        <v>15</v>
      </c>
      <c r="AV37" s="402" t="s">
        <v>393</v>
      </c>
      <c r="AW37" s="250" t="s">
        <v>215</v>
      </c>
      <c r="AX37" s="249">
        <f>COUNTIFS($AS$5:$AS$33,"ma",februar,"skoledag")</f>
        <v>3</v>
      </c>
      <c r="AY37" s="231" t="s">
        <v>222</v>
      </c>
      <c r="AZ37" s="233"/>
      <c r="BA37" s="233"/>
      <c r="BB37" s="230">
        <f>COUNTIF(marts,"skoledag")</f>
        <v>22</v>
      </c>
      <c r="BC37" s="402" t="s">
        <v>393</v>
      </c>
      <c r="BD37" s="250" t="s">
        <v>215</v>
      </c>
      <c r="BE37" s="249">
        <f>COUNTIFS($AZ$5:$AZ$35,"ma",marts,"skoledag")</f>
        <v>5</v>
      </c>
      <c r="BF37" s="231" t="s">
        <v>222</v>
      </c>
      <c r="BG37" s="233"/>
      <c r="BH37" s="233"/>
      <c r="BI37" s="230">
        <f>COUNTIF(april,"skoledag")</f>
        <v>16</v>
      </c>
      <c r="BJ37" s="402" t="s">
        <v>393</v>
      </c>
      <c r="BK37" s="250" t="s">
        <v>215</v>
      </c>
      <c r="BL37" s="249">
        <f>COUNTIFS($BG$5:$BG$34,"ma",april,"skoledag")</f>
        <v>2</v>
      </c>
      <c r="BM37" s="231" t="s">
        <v>222</v>
      </c>
      <c r="BN37" s="233"/>
      <c r="BO37" s="233"/>
      <c r="BP37" s="230">
        <f>COUNTIF(maj,"skoledag")</f>
        <v>18</v>
      </c>
      <c r="BQ37" s="402" t="s">
        <v>393</v>
      </c>
      <c r="BR37" s="250" t="s">
        <v>215</v>
      </c>
      <c r="BS37" s="249">
        <f>COUNTIFS($BN$5:$BN$35,"ma",maj,"skoledag")</f>
        <v>4</v>
      </c>
      <c r="BT37" s="231" t="s">
        <v>222</v>
      </c>
      <c r="BU37" s="233"/>
      <c r="BV37" s="233"/>
      <c r="BW37" s="230">
        <f>COUNTIF(juni,"skoledag")</f>
        <v>19</v>
      </c>
      <c r="BX37" s="402" t="s">
        <v>393</v>
      </c>
      <c r="BY37" s="250" t="s">
        <v>215</v>
      </c>
      <c r="BZ37" s="249">
        <f>COUNTIFS($BU$5:$BU$34,"ma",juni,"skoledag")</f>
        <v>3</v>
      </c>
      <c r="CA37" s="231" t="s">
        <v>222</v>
      </c>
      <c r="CB37" s="233"/>
      <c r="CC37" s="233"/>
      <c r="CD37" s="230">
        <f>COUNTIF(juli,"skoledag")</f>
        <v>0</v>
      </c>
      <c r="CE37" s="402" t="s">
        <v>393</v>
      </c>
      <c r="CF37" s="250" t="s">
        <v>215</v>
      </c>
      <c r="CG37" s="249">
        <f>COUNTIFS($CB$5:$CB$35,"ma",juli,"skoledag")</f>
        <v>0</v>
      </c>
      <c r="CH37" s="395"/>
      <c r="CI37" s="250" t="s">
        <v>215</v>
      </c>
      <c r="CJ37" s="406">
        <f t="shared" ref="CJ37:CJ43" si="39">CG37+BZ37+BS37+BL37+BE37+AX37+AQ37+AJ37+AC37+V37+O37+H37</f>
        <v>39</v>
      </c>
    </row>
    <row r="38" spans="1:90" s="229" customFormat="1" ht="13" customHeight="1">
      <c r="A38" s="367" t="s">
        <v>294</v>
      </c>
      <c r="B38" s="248" t="s">
        <v>220</v>
      </c>
      <c r="C38" s="247"/>
      <c r="D38" s="247"/>
      <c r="E38" s="244">
        <f>COUNTIF(august,"fagdag")+COUNTIF(august,"emnedag")</f>
        <v>0</v>
      </c>
      <c r="F38" s="402" t="s">
        <v>393</v>
      </c>
      <c r="G38" s="227" t="s">
        <v>214</v>
      </c>
      <c r="H38" s="244">
        <f>COUNTIFS($C$5:$C$35,"ti",august,"skoledag")</f>
        <v>3</v>
      </c>
      <c r="I38" s="248" t="s">
        <v>220</v>
      </c>
      <c r="J38" s="244"/>
      <c r="K38" s="247"/>
      <c r="L38" s="244">
        <f>COUNTIF(september,"fagdag")+COUNTIF(september,"emnedag")</f>
        <v>0</v>
      </c>
      <c r="M38" s="402" t="s">
        <v>393</v>
      </c>
      <c r="N38" s="227" t="s">
        <v>214</v>
      </c>
      <c r="O38" s="244">
        <f>COUNTIFS($J$5:$J$34,"ti",september,"skoledag")</f>
        <v>4</v>
      </c>
      <c r="P38" s="248" t="s">
        <v>220</v>
      </c>
      <c r="Q38" s="247"/>
      <c r="R38" s="247"/>
      <c r="S38" s="244">
        <f>COUNTIF(oktober,"fagdag")+COUNTIF(oktober,"emnedag")</f>
        <v>0</v>
      </c>
      <c r="T38" s="402" t="s">
        <v>393</v>
      </c>
      <c r="U38" s="227" t="s">
        <v>214</v>
      </c>
      <c r="V38" s="244">
        <f>COUNTIFS($Q$5:$Q$35,"ti",oktober,"skoledag")</f>
        <v>4</v>
      </c>
      <c r="W38" s="248" t="s">
        <v>220</v>
      </c>
      <c r="X38" s="247"/>
      <c r="Y38" s="247"/>
      <c r="Z38" s="244">
        <f>COUNTIF(november,"fagdag")+COUNTIF(november,"emnedag")</f>
        <v>0</v>
      </c>
      <c r="AA38" s="402" t="s">
        <v>393</v>
      </c>
      <c r="AB38" s="248" t="s">
        <v>214</v>
      </c>
      <c r="AC38" s="244">
        <f>COUNTIFS($X$5:$X$34,"ti",november,"skoledag")</f>
        <v>4</v>
      </c>
      <c r="AD38" s="248" t="s">
        <v>220</v>
      </c>
      <c r="AE38" s="247"/>
      <c r="AF38" s="247"/>
      <c r="AG38" s="244">
        <f>COUNTIF(december,"fagdag")+COUNTIF(december,"emnedag")</f>
        <v>0</v>
      </c>
      <c r="AH38" s="402" t="s">
        <v>393</v>
      </c>
      <c r="AI38" s="248" t="s">
        <v>214</v>
      </c>
      <c r="AJ38" s="244">
        <f>COUNTIFS($AE$5:$AE$35,"ti",december,"skoledag")</f>
        <v>3</v>
      </c>
      <c r="AK38" s="248" t="s">
        <v>220</v>
      </c>
      <c r="AL38" s="247"/>
      <c r="AM38" s="247"/>
      <c r="AN38" s="244">
        <f>COUNTIF(januar,"fagdag")+COUNTIF(januar,"emnedag")</f>
        <v>0</v>
      </c>
      <c r="AO38" s="402" t="s">
        <v>393</v>
      </c>
      <c r="AP38" s="248" t="s">
        <v>214</v>
      </c>
      <c r="AQ38" s="244">
        <f>COUNTIFS($AL$5:$AL$35,"ti",januar,"skoledag")</f>
        <v>4</v>
      </c>
      <c r="AR38" s="248" t="s">
        <v>220</v>
      </c>
      <c r="AS38" s="247"/>
      <c r="AT38" s="247"/>
      <c r="AU38" s="244">
        <f>COUNTIF(februar,"fagdag")+COUNTIF(februar,"emnedag")</f>
        <v>0</v>
      </c>
      <c r="AV38" s="402" t="s">
        <v>393</v>
      </c>
      <c r="AW38" s="248" t="s">
        <v>214</v>
      </c>
      <c r="AX38" s="244">
        <f>COUNTIFS($AS$5:$AS$33,"ti",februar,"skoledag")</f>
        <v>3</v>
      </c>
      <c r="AY38" s="248" t="s">
        <v>220</v>
      </c>
      <c r="AZ38" s="247"/>
      <c r="BA38" s="247"/>
      <c r="BB38" s="244">
        <f>COUNTIF(marts,"fagdag")+COUNTIF(marts,"emnedag")</f>
        <v>0</v>
      </c>
      <c r="BC38" s="402" t="s">
        <v>393</v>
      </c>
      <c r="BD38" s="248" t="s">
        <v>214</v>
      </c>
      <c r="BE38" s="244">
        <f>COUNTIFS($AZ$5:$AZ$35,"ti",marts,"skoledag")</f>
        <v>5</v>
      </c>
      <c r="BF38" s="248" t="s">
        <v>220</v>
      </c>
      <c r="BG38" s="247"/>
      <c r="BH38" s="247"/>
      <c r="BI38" s="244">
        <f>COUNTIF(april,"fagdag")+COUNTIF(april,"emnedag")</f>
        <v>0</v>
      </c>
      <c r="BJ38" s="402" t="s">
        <v>393</v>
      </c>
      <c r="BK38" s="248" t="s">
        <v>214</v>
      </c>
      <c r="BL38" s="244">
        <f>COUNTIFS($BG$5:$BG$34,"ti",april,"skoledag")</f>
        <v>3</v>
      </c>
      <c r="BM38" s="248" t="s">
        <v>220</v>
      </c>
      <c r="BN38" s="247"/>
      <c r="BO38" s="247"/>
      <c r="BP38" s="244">
        <f>COUNTIF(maj,"fagdag")+COUNTIF(maj,"emnedag")</f>
        <v>0</v>
      </c>
      <c r="BQ38" s="402" t="s">
        <v>393</v>
      </c>
      <c r="BR38" s="248" t="s">
        <v>214</v>
      </c>
      <c r="BS38" s="244">
        <f>COUNTIFS($BN$5:$BN$35,"ti",maj,"skoledag")</f>
        <v>4</v>
      </c>
      <c r="BT38" s="248" t="s">
        <v>220</v>
      </c>
      <c r="BU38" s="247"/>
      <c r="BV38" s="247"/>
      <c r="BW38" s="244">
        <f>COUNTIF(juni,"fagdag")+COUNTIF(juni,"emnedag")</f>
        <v>0</v>
      </c>
      <c r="BX38" s="402" t="s">
        <v>393</v>
      </c>
      <c r="BY38" s="248" t="s">
        <v>214</v>
      </c>
      <c r="BZ38" s="244">
        <f>COUNTIFS($BU$5:$BU$34,"ti",juni,"skoledag")</f>
        <v>4</v>
      </c>
      <c r="CA38" s="248" t="s">
        <v>220</v>
      </c>
      <c r="CB38" s="247"/>
      <c r="CC38" s="247"/>
      <c r="CD38" s="244">
        <f>COUNTIF(juli,"fagdag")+COUNTIF(juli,"emnedag")</f>
        <v>0</v>
      </c>
      <c r="CE38" s="402" t="s">
        <v>393</v>
      </c>
      <c r="CF38" s="248" t="s">
        <v>214</v>
      </c>
      <c r="CG38" s="244">
        <f>COUNTIFS($CB$5:$CB$35,"ti",juli,"skoledag")</f>
        <v>0</v>
      </c>
      <c r="CH38" s="395"/>
      <c r="CI38" s="248" t="s">
        <v>214</v>
      </c>
      <c r="CJ38" s="422">
        <f t="shared" si="39"/>
        <v>41</v>
      </c>
    </row>
    <row r="39" spans="1:90" s="229" customFormat="1">
      <c r="A39" s="369" t="s">
        <v>268</v>
      </c>
      <c r="B39" s="245" t="s">
        <v>219</v>
      </c>
      <c r="C39" s="247"/>
      <c r="D39" s="247"/>
      <c r="E39" s="246">
        <f>COUNTIF(august,"lejrskole")+COUNTIF(august,"ekskursion")</f>
        <v>0</v>
      </c>
      <c r="F39" s="402" t="s">
        <v>393</v>
      </c>
      <c r="G39" s="227" t="s">
        <v>213</v>
      </c>
      <c r="H39" s="244">
        <f>COUNTIFS($C$5:$C$35,"on",august,"skoledag")</f>
        <v>3</v>
      </c>
      <c r="I39" s="245" t="s">
        <v>219</v>
      </c>
      <c r="J39" s="244"/>
      <c r="K39" s="247"/>
      <c r="L39" s="246">
        <f>COUNTIF(september,"lejrskole")+COUNTIF(september,"ekskursion")</f>
        <v>0</v>
      </c>
      <c r="M39" s="402" t="s">
        <v>393</v>
      </c>
      <c r="N39" s="227" t="s">
        <v>213</v>
      </c>
      <c r="O39" s="244">
        <f>COUNTIFS($J$5:$J$34,"on",september,"skoledag")</f>
        <v>4</v>
      </c>
      <c r="P39" s="245" t="s">
        <v>219</v>
      </c>
      <c r="Q39" s="247"/>
      <c r="R39" s="247"/>
      <c r="S39" s="246">
        <f>COUNTIF(oktober,"lejrskole")+COUNTIF(oktober,"ekskursion")</f>
        <v>0</v>
      </c>
      <c r="T39" s="402" t="s">
        <v>393</v>
      </c>
      <c r="U39" s="227" t="s">
        <v>213</v>
      </c>
      <c r="V39" s="244">
        <f>COUNTIFS($Q$5:$Q$35,"on",oktober,"skoledag")</f>
        <v>4</v>
      </c>
      <c r="W39" s="245" t="s">
        <v>219</v>
      </c>
      <c r="X39" s="247"/>
      <c r="Y39" s="247"/>
      <c r="Z39" s="246">
        <f>COUNTIF(november,"lejrskole")+COUNTIF(november,"ekskursion")</f>
        <v>0</v>
      </c>
      <c r="AA39" s="402" t="s">
        <v>393</v>
      </c>
      <c r="AB39" s="248" t="s">
        <v>213</v>
      </c>
      <c r="AC39" s="244">
        <f>COUNTIFS($X$5:$X$34,"on",november,"skoledag")</f>
        <v>4</v>
      </c>
      <c r="AD39" s="245" t="s">
        <v>219</v>
      </c>
      <c r="AE39" s="247"/>
      <c r="AF39" s="247"/>
      <c r="AG39" s="246">
        <f>COUNTIF(december,"lejrskole")+COUNTIF(december,"ekskursion")</f>
        <v>0</v>
      </c>
      <c r="AH39" s="402" t="s">
        <v>393</v>
      </c>
      <c r="AI39" s="248" t="s">
        <v>213</v>
      </c>
      <c r="AJ39" s="244">
        <f>COUNTIFS($AE$5:$AE$35,"on",december,"skoledag")</f>
        <v>3</v>
      </c>
      <c r="AK39" s="245" t="s">
        <v>219</v>
      </c>
      <c r="AL39" s="247"/>
      <c r="AM39" s="247"/>
      <c r="AN39" s="246">
        <f>COUNTIF(januar,"lejrskole")+COUNTIF(januar,"ekskursion")</f>
        <v>0</v>
      </c>
      <c r="AO39" s="402" t="s">
        <v>393</v>
      </c>
      <c r="AP39" s="248" t="s">
        <v>213</v>
      </c>
      <c r="AQ39" s="244">
        <f>COUNTIFS($AL$5:$AL$35,"on",januar,"skoledag")</f>
        <v>4</v>
      </c>
      <c r="AR39" s="245" t="s">
        <v>219</v>
      </c>
      <c r="AS39" s="247"/>
      <c r="AT39" s="247"/>
      <c r="AU39" s="246">
        <f>COUNTIF(februar,"lejrskole")+COUNTIF(februar,"ekskursion")</f>
        <v>0</v>
      </c>
      <c r="AV39" s="402" t="s">
        <v>393</v>
      </c>
      <c r="AW39" s="248" t="s">
        <v>213</v>
      </c>
      <c r="AX39" s="244">
        <f>COUNTIFS($AS$5:$AS$33,"on",februar,"skoledag")</f>
        <v>3</v>
      </c>
      <c r="AY39" s="245" t="s">
        <v>219</v>
      </c>
      <c r="AZ39" s="247"/>
      <c r="BA39" s="247"/>
      <c r="BB39" s="246">
        <f>COUNTIF(marts,"lejrskole")+COUNTIF(marts,"ekskursion")</f>
        <v>0</v>
      </c>
      <c r="BC39" s="402" t="s">
        <v>393</v>
      </c>
      <c r="BD39" s="248" t="s">
        <v>213</v>
      </c>
      <c r="BE39" s="244">
        <f>COUNTIFS($AZ$5:$AZ$35,"on",marts,"skoledag")</f>
        <v>4</v>
      </c>
      <c r="BF39" s="245" t="s">
        <v>219</v>
      </c>
      <c r="BG39" s="247"/>
      <c r="BH39" s="247"/>
      <c r="BI39" s="246">
        <f>COUNTIF(april,"lejrskole")+COUNTIF(april,"ekskursion")</f>
        <v>0</v>
      </c>
      <c r="BJ39" s="402" t="s">
        <v>393</v>
      </c>
      <c r="BK39" s="248" t="s">
        <v>213</v>
      </c>
      <c r="BL39" s="244">
        <f>COUNTIFS($BG$5:$BG$34,"on",april,"skoledag")</f>
        <v>4</v>
      </c>
      <c r="BM39" s="245" t="s">
        <v>219</v>
      </c>
      <c r="BN39" s="247"/>
      <c r="BO39" s="247"/>
      <c r="BP39" s="246">
        <f>COUNTIF(maj,"lejrskole")+COUNTIF(maj,"ekskursion")</f>
        <v>0</v>
      </c>
      <c r="BQ39" s="402" t="s">
        <v>393</v>
      </c>
      <c r="BR39" s="248" t="s">
        <v>213</v>
      </c>
      <c r="BS39" s="244">
        <f>COUNTIFS($BN$5:$BN$35,"on",maj,"skoledag")</f>
        <v>4</v>
      </c>
      <c r="BT39" s="245" t="s">
        <v>219</v>
      </c>
      <c r="BU39" s="247"/>
      <c r="BV39" s="247"/>
      <c r="BW39" s="246">
        <f>COUNTIF(juni,"lejrskole")+COUNTIF(juni,"ekskursion")</f>
        <v>0</v>
      </c>
      <c r="BX39" s="402" t="s">
        <v>393</v>
      </c>
      <c r="BY39" s="248" t="s">
        <v>213</v>
      </c>
      <c r="BZ39" s="244">
        <f>COUNTIFS($BU$5:$BU$34,"on",juni,"skoledag")</f>
        <v>4</v>
      </c>
      <c r="CA39" s="245" t="s">
        <v>219</v>
      </c>
      <c r="CB39" s="247"/>
      <c r="CC39" s="247"/>
      <c r="CD39" s="246">
        <f>COUNTIF(juli,"lejrskole")+COUNTIF(juli,"ekskursion")</f>
        <v>0</v>
      </c>
      <c r="CE39" s="402" t="s">
        <v>393</v>
      </c>
      <c r="CF39" s="248" t="s">
        <v>213</v>
      </c>
      <c r="CG39" s="244">
        <f>COUNTIFS($CB$5:$CB$35,"on",juli,"skoledag")</f>
        <v>0</v>
      </c>
      <c r="CH39" s="395"/>
      <c r="CI39" s="248" t="s">
        <v>213</v>
      </c>
      <c r="CJ39" s="422">
        <f t="shared" si="39"/>
        <v>41</v>
      </c>
    </row>
    <row r="40" spans="1:90" s="229" customFormat="1">
      <c r="A40" s="499" t="s">
        <v>353</v>
      </c>
      <c r="B40" s="227" t="s">
        <v>218</v>
      </c>
      <c r="C40" s="228"/>
      <c r="D40" s="228"/>
      <c r="E40" s="224">
        <f>COUNTIF(august,"Pæd.dag")</f>
        <v>0</v>
      </c>
      <c r="F40" s="402" t="s">
        <v>394</v>
      </c>
      <c r="G40" s="227" t="s">
        <v>212</v>
      </c>
      <c r="H40" s="244">
        <f>COUNTIFS($C$5:$C$35,"to",august,"skoledag")</f>
        <v>3</v>
      </c>
      <c r="I40" s="227" t="s">
        <v>218</v>
      </c>
      <c r="J40" s="244"/>
      <c r="K40" s="228"/>
      <c r="L40" s="224">
        <f>COUNTIF(september,"Pæd.dag")</f>
        <v>0</v>
      </c>
      <c r="M40" s="402" t="s">
        <v>394</v>
      </c>
      <c r="N40" s="227" t="s">
        <v>212</v>
      </c>
      <c r="O40" s="244">
        <f>COUNTIFS($J$5:$J$34,"to",september,"skoledag")</f>
        <v>4</v>
      </c>
      <c r="P40" s="227" t="s">
        <v>218</v>
      </c>
      <c r="Q40" s="228"/>
      <c r="R40" s="228"/>
      <c r="S40" s="224">
        <f>COUNTIF(oktober,"Pæd.dag")</f>
        <v>0</v>
      </c>
      <c r="T40" s="402" t="s">
        <v>394</v>
      </c>
      <c r="U40" s="227" t="s">
        <v>212</v>
      </c>
      <c r="V40" s="244">
        <f>COUNTIFS($Q$5:$Q$35,"to",oktober,"skoledag")</f>
        <v>4</v>
      </c>
      <c r="W40" s="227" t="s">
        <v>218</v>
      </c>
      <c r="X40" s="228"/>
      <c r="Y40" s="228"/>
      <c r="Z40" s="224">
        <f>COUNTIF(november,"Pæd.dag")</f>
        <v>0</v>
      </c>
      <c r="AA40" s="402" t="s">
        <v>394</v>
      </c>
      <c r="AB40" s="248" t="s">
        <v>212</v>
      </c>
      <c r="AC40" s="244">
        <f>COUNTIFS($X$5:$X$34,"to",november,"skoledag")</f>
        <v>4</v>
      </c>
      <c r="AD40" s="227" t="s">
        <v>218</v>
      </c>
      <c r="AE40" s="228"/>
      <c r="AF40" s="228"/>
      <c r="AG40" s="224">
        <f>COUNTIF(december,"Pæd.dag")</f>
        <v>0</v>
      </c>
      <c r="AH40" s="402" t="s">
        <v>394</v>
      </c>
      <c r="AI40" s="248" t="s">
        <v>212</v>
      </c>
      <c r="AJ40" s="244">
        <f>COUNTIFS($AE$5:$AE$35,"to",december,"skoledag")</f>
        <v>3</v>
      </c>
      <c r="AK40" s="227" t="s">
        <v>218</v>
      </c>
      <c r="AL40" s="228"/>
      <c r="AM40" s="228"/>
      <c r="AN40" s="224">
        <f>COUNTIF(januar,"Pæd.dag")</f>
        <v>0</v>
      </c>
      <c r="AO40" s="402" t="s">
        <v>394</v>
      </c>
      <c r="AP40" s="248" t="s">
        <v>212</v>
      </c>
      <c r="AQ40" s="244">
        <f>COUNTIFS($AL$5:$AL$35,"to",januar,"skoledag")</f>
        <v>4</v>
      </c>
      <c r="AR40" s="227" t="s">
        <v>218</v>
      </c>
      <c r="AS40" s="228"/>
      <c r="AT40" s="228"/>
      <c r="AU40" s="224">
        <f>COUNTIF(februar,"Pæd.dag")</f>
        <v>0</v>
      </c>
      <c r="AV40" s="402" t="s">
        <v>394</v>
      </c>
      <c r="AW40" s="248" t="s">
        <v>212</v>
      </c>
      <c r="AX40" s="244">
        <f>COUNTIFS($AS$5:$AS$33,"to",februar,"skoledag")</f>
        <v>3</v>
      </c>
      <c r="AY40" s="227" t="s">
        <v>218</v>
      </c>
      <c r="AZ40" s="228"/>
      <c r="BA40" s="228"/>
      <c r="BB40" s="224">
        <f>COUNTIF(marts,"Pæd.dag")</f>
        <v>0</v>
      </c>
      <c r="BC40" s="402" t="s">
        <v>394</v>
      </c>
      <c r="BD40" s="248" t="s">
        <v>212</v>
      </c>
      <c r="BE40" s="244">
        <f>COUNTIFS($AZ$5:$AZ$35,"to",marts,"skoledag")</f>
        <v>4</v>
      </c>
      <c r="BF40" s="227" t="s">
        <v>218</v>
      </c>
      <c r="BG40" s="228"/>
      <c r="BH40" s="228"/>
      <c r="BI40" s="224">
        <f>COUNTIF(april,"Pæd.dag")</f>
        <v>0</v>
      </c>
      <c r="BJ40" s="402" t="s">
        <v>394</v>
      </c>
      <c r="BK40" s="248" t="s">
        <v>212</v>
      </c>
      <c r="BL40" s="244">
        <f>COUNTIFS($BG$5:$BG$34,"to",april,"skoledag")</f>
        <v>4</v>
      </c>
      <c r="BM40" s="227" t="s">
        <v>218</v>
      </c>
      <c r="BN40" s="228"/>
      <c r="BO40" s="228"/>
      <c r="BP40" s="224">
        <f>COUNTIF(maj,"Pæd.dag")</f>
        <v>0</v>
      </c>
      <c r="BQ40" s="402" t="s">
        <v>394</v>
      </c>
      <c r="BR40" s="248" t="s">
        <v>212</v>
      </c>
      <c r="BS40" s="244">
        <f>COUNTIFS($BN$5:$BN$35,"to",maj,"skoledag")</f>
        <v>3</v>
      </c>
      <c r="BT40" s="227" t="s">
        <v>218</v>
      </c>
      <c r="BU40" s="228"/>
      <c r="BV40" s="228"/>
      <c r="BW40" s="224">
        <f>COUNTIF(juni,"Pæd.dag")</f>
        <v>0</v>
      </c>
      <c r="BX40" s="402" t="s">
        <v>394</v>
      </c>
      <c r="BY40" s="248" t="s">
        <v>212</v>
      </c>
      <c r="BZ40" s="244">
        <f>COUNTIFS($BU$5:$BU$34,"to",juni,"skoledag")</f>
        <v>4</v>
      </c>
      <c r="CA40" s="227" t="s">
        <v>218</v>
      </c>
      <c r="CB40" s="228"/>
      <c r="CC40" s="228"/>
      <c r="CD40" s="224">
        <f>COUNTIF(juli,"Pæd.dag")</f>
        <v>0</v>
      </c>
      <c r="CE40" s="402" t="s">
        <v>394</v>
      </c>
      <c r="CF40" s="248" t="s">
        <v>212</v>
      </c>
      <c r="CG40" s="244">
        <f>COUNTIFS($CB$5:$CB$35,"to",juli,"skoledag")</f>
        <v>0</v>
      </c>
      <c r="CH40" s="395"/>
      <c r="CI40" s="248" t="s">
        <v>212</v>
      </c>
      <c r="CJ40" s="422">
        <f t="shared" si="39"/>
        <v>40</v>
      </c>
    </row>
    <row r="41" spans="1:90" s="229" customFormat="1" ht="16" customHeight="1">
      <c r="A41" s="498"/>
      <c r="B41" s="227" t="s">
        <v>242</v>
      </c>
      <c r="C41" s="228"/>
      <c r="D41" s="228"/>
      <c r="E41" s="224">
        <f>COUNTIF(august,"weekend")</f>
        <v>9</v>
      </c>
      <c r="F41" s="402" t="s">
        <v>266</v>
      </c>
      <c r="G41" s="227" t="s">
        <v>211</v>
      </c>
      <c r="H41" s="244">
        <f>COUNTIFS($C$5:$C$35,"fr",august,"skoledag")</f>
        <v>3</v>
      </c>
      <c r="I41" s="595" t="s">
        <v>242</v>
      </c>
      <c r="J41" s="596"/>
      <c r="K41" s="596"/>
      <c r="L41" s="224">
        <f>COUNTIF(september,"weekend")</f>
        <v>9</v>
      </c>
      <c r="M41" s="402" t="s">
        <v>266</v>
      </c>
      <c r="N41" s="227" t="s">
        <v>211</v>
      </c>
      <c r="O41" s="244">
        <f>COUNTIFS($J$5:$J$34,"fr",september,"skoledag")</f>
        <v>4</v>
      </c>
      <c r="P41" s="227" t="str">
        <f>I41</f>
        <v>Weekend</v>
      </c>
      <c r="Q41" s="228"/>
      <c r="R41" s="228"/>
      <c r="S41" s="224">
        <f>COUNTIF(oktober,"weekend")</f>
        <v>8</v>
      </c>
      <c r="T41" s="402" t="s">
        <v>266</v>
      </c>
      <c r="U41" s="227" t="s">
        <v>211</v>
      </c>
      <c r="V41" s="244">
        <f>COUNTIFS($Q$5:$Q$35,"fr",oktober,"skoledag")</f>
        <v>3</v>
      </c>
      <c r="W41" s="227" t="str">
        <f>P41</f>
        <v>Weekend</v>
      </c>
      <c r="X41" s="228"/>
      <c r="Y41" s="228"/>
      <c r="Z41" s="224">
        <f>COUNTIF(november,"weekend")</f>
        <v>9</v>
      </c>
      <c r="AA41" s="402" t="s">
        <v>266</v>
      </c>
      <c r="AB41" s="248" t="s">
        <v>211</v>
      </c>
      <c r="AC41" s="244">
        <f>COUNTIFS($X$5:$X$34,"fr",november,"skoledag")</f>
        <v>5</v>
      </c>
      <c r="AD41" s="227" t="str">
        <f>W41</f>
        <v>Weekend</v>
      </c>
      <c r="AE41" s="228"/>
      <c r="AF41" s="228"/>
      <c r="AG41" s="224">
        <f>COUNTIF(december,"weekend")</f>
        <v>9</v>
      </c>
      <c r="AH41" s="402" t="s">
        <v>266</v>
      </c>
      <c r="AI41" s="248" t="s">
        <v>211</v>
      </c>
      <c r="AJ41" s="244">
        <f>COUNTIFS($AE$5:$AE$35,"fr",december,"skoledag")</f>
        <v>3</v>
      </c>
      <c r="AK41" s="227" t="str">
        <f>AD41</f>
        <v>Weekend</v>
      </c>
      <c r="AL41" s="228"/>
      <c r="AM41" s="228"/>
      <c r="AN41" s="224">
        <f>COUNTIF(januar,"weekend")</f>
        <v>8</v>
      </c>
      <c r="AO41" s="402" t="s">
        <v>266</v>
      </c>
      <c r="AP41" s="248" t="s">
        <v>211</v>
      </c>
      <c r="AQ41" s="244">
        <f>COUNTIFS($AL$5:$AL$35,"fr",januar,"skoledag")</f>
        <v>4</v>
      </c>
      <c r="AR41" s="227" t="str">
        <f>AK41</f>
        <v>Weekend</v>
      </c>
      <c r="AS41" s="228"/>
      <c r="AT41" s="228"/>
      <c r="AU41" s="224">
        <f>COUNTIF(februar,"weekend")</f>
        <v>9</v>
      </c>
      <c r="AV41" s="402" t="s">
        <v>266</v>
      </c>
      <c r="AW41" s="248" t="s">
        <v>211</v>
      </c>
      <c r="AX41" s="244">
        <f>COUNTIFS($AS$5:$AS$33,"fr",februar,"skoledag")</f>
        <v>3</v>
      </c>
      <c r="AY41" s="227" t="str">
        <f>AR41</f>
        <v>Weekend</v>
      </c>
      <c r="AZ41" s="228"/>
      <c r="BA41" s="228"/>
      <c r="BB41" s="224">
        <f>COUNTIF(marts,"weekend")</f>
        <v>9</v>
      </c>
      <c r="BC41" s="402" t="s">
        <v>266</v>
      </c>
      <c r="BD41" s="248" t="s">
        <v>211</v>
      </c>
      <c r="BE41" s="244">
        <f>COUNTIFS($AZ$5:$AZ$35,"fr",marts,"skoledag")</f>
        <v>4</v>
      </c>
      <c r="BF41" s="227" t="str">
        <f>AY41</f>
        <v>Weekend</v>
      </c>
      <c r="BG41" s="228"/>
      <c r="BH41" s="228"/>
      <c r="BI41" s="224">
        <f>COUNTIF(april,"weekend")</f>
        <v>8</v>
      </c>
      <c r="BJ41" s="402" t="s">
        <v>266</v>
      </c>
      <c r="BK41" s="248" t="s">
        <v>211</v>
      </c>
      <c r="BL41" s="244">
        <f>COUNTIFS($BG$5:$BG$34,"fr",april,"skoledag")</f>
        <v>3</v>
      </c>
      <c r="BM41" s="227" t="str">
        <f>BF41</f>
        <v>Weekend</v>
      </c>
      <c r="BN41" s="228"/>
      <c r="BO41" s="228"/>
      <c r="BP41" s="224">
        <f>COUNTIF(maj,"weekend")</f>
        <v>10</v>
      </c>
      <c r="BQ41" s="402" t="s">
        <v>266</v>
      </c>
      <c r="BR41" s="248" t="s">
        <v>211</v>
      </c>
      <c r="BS41" s="244">
        <f>COUNTIFS($BN$5:$BN$35,"fr",maj,"skoledag")</f>
        <v>3</v>
      </c>
      <c r="BT41" s="227" t="str">
        <f>BM41</f>
        <v>Weekend</v>
      </c>
      <c r="BU41" s="228"/>
      <c r="BV41" s="228"/>
      <c r="BW41" s="224">
        <f>COUNTIF(juni,"weekend")</f>
        <v>8</v>
      </c>
      <c r="BX41" s="402" t="s">
        <v>266</v>
      </c>
      <c r="BY41" s="248" t="s">
        <v>211</v>
      </c>
      <c r="BZ41" s="244">
        <f>COUNTIFS($BU$5:$BU$34,"fr",juni,"skoledag")</f>
        <v>4</v>
      </c>
      <c r="CA41" s="227" t="str">
        <f>BT41</f>
        <v>Weekend</v>
      </c>
      <c r="CB41" s="228"/>
      <c r="CC41" s="228"/>
      <c r="CD41" s="224">
        <f>COUNTIF(juli,"weekend")</f>
        <v>8</v>
      </c>
      <c r="CE41" s="402" t="s">
        <v>266</v>
      </c>
      <c r="CF41" s="248" t="s">
        <v>211</v>
      </c>
      <c r="CG41" s="244">
        <f>COUNTIFS($CB$5:$CB$35,"fr",juli,"skoledag")</f>
        <v>0</v>
      </c>
      <c r="CH41" s="395"/>
      <c r="CI41" s="248" t="s">
        <v>211</v>
      </c>
      <c r="CJ41" s="422">
        <f t="shared" si="39"/>
        <v>39</v>
      </c>
    </row>
    <row r="42" spans="1:90" s="229" customFormat="1">
      <c r="A42" s="585" t="s">
        <v>297</v>
      </c>
      <c r="B42" s="227" t="s">
        <v>265</v>
      </c>
      <c r="C42" s="228"/>
      <c r="D42" s="228"/>
      <c r="E42" s="224">
        <f>COUNTIF(august,"SH-dag")</f>
        <v>0</v>
      </c>
      <c r="F42" s="402" t="s">
        <v>266</v>
      </c>
      <c r="G42" s="227" t="s">
        <v>210</v>
      </c>
      <c r="H42" s="244">
        <f>COUNTIFS($C$5:$C$35,"lø",august,"skoledag")</f>
        <v>0</v>
      </c>
      <c r="I42" s="227" t="s">
        <v>265</v>
      </c>
      <c r="J42" s="326"/>
      <c r="K42" s="356"/>
      <c r="L42" s="224">
        <f>COUNTIF(september,"SH-dag")</f>
        <v>0</v>
      </c>
      <c r="M42" s="402" t="s">
        <v>266</v>
      </c>
      <c r="N42" s="227" t="s">
        <v>210</v>
      </c>
      <c r="O42" s="244">
        <f>COUNTIFS($J$5:$J$34,"lø",september,"skoledag")</f>
        <v>0</v>
      </c>
      <c r="P42" s="355" t="s">
        <v>265</v>
      </c>
      <c r="Q42" s="356"/>
      <c r="R42" s="356"/>
      <c r="S42" s="224">
        <f>COUNTIF(oktober,"SH-dag")</f>
        <v>0</v>
      </c>
      <c r="T42" s="402" t="s">
        <v>266</v>
      </c>
      <c r="U42" s="227" t="s">
        <v>210</v>
      </c>
      <c r="V42" s="244">
        <f>COUNTIFS($Q$5:$Q$35,"lø",oktober,"skoledag")</f>
        <v>0</v>
      </c>
      <c r="W42" s="355" t="s">
        <v>265</v>
      </c>
      <c r="X42" s="356"/>
      <c r="Y42" s="356"/>
      <c r="Z42" s="224">
        <f>COUNTIF(november,"SH-dag")</f>
        <v>0</v>
      </c>
      <c r="AA42" s="402" t="s">
        <v>266</v>
      </c>
      <c r="AB42" s="248" t="s">
        <v>210</v>
      </c>
      <c r="AC42" s="244">
        <f>COUNTIFS($X$5:$X$34,"lø",november,"skoledag")</f>
        <v>0</v>
      </c>
      <c r="AD42" s="355" t="s">
        <v>265</v>
      </c>
      <c r="AE42" s="356"/>
      <c r="AF42" s="356"/>
      <c r="AG42" s="224">
        <f>COUNTIF(december,"SH-dag")</f>
        <v>2</v>
      </c>
      <c r="AH42" s="402" t="s">
        <v>266</v>
      </c>
      <c r="AI42" s="248" t="s">
        <v>210</v>
      </c>
      <c r="AJ42" s="244">
        <f>COUNTIFS($AE$5:$AE$35,"lø",december,"skoledag")</f>
        <v>0</v>
      </c>
      <c r="AK42" s="355" t="s">
        <v>265</v>
      </c>
      <c r="AL42" s="356"/>
      <c r="AM42" s="356"/>
      <c r="AN42" s="224">
        <f>COUNTIF(januar,"SH-dag")</f>
        <v>1</v>
      </c>
      <c r="AO42" s="402" t="s">
        <v>266</v>
      </c>
      <c r="AP42" s="248" t="s">
        <v>210</v>
      </c>
      <c r="AQ42" s="244">
        <f>COUNTIFS($AL$5:$AL$35,"lø",januar,"skoledag")</f>
        <v>0</v>
      </c>
      <c r="AR42" s="355" t="s">
        <v>265</v>
      </c>
      <c r="AS42" s="356"/>
      <c r="AT42" s="356"/>
      <c r="AU42" s="224">
        <f>COUNTIF(februar,"SH-dag")</f>
        <v>0</v>
      </c>
      <c r="AV42" s="402" t="s">
        <v>266</v>
      </c>
      <c r="AW42" s="248" t="s">
        <v>210</v>
      </c>
      <c r="AX42" s="244">
        <f>COUNTIFS($AS$5:$AS$33,"lø",februar,"skoledag")</f>
        <v>0</v>
      </c>
      <c r="AY42" s="355" t="s">
        <v>265</v>
      </c>
      <c r="AZ42" s="356"/>
      <c r="BA42" s="356"/>
      <c r="BB42" s="224">
        <f>COUNTIF(marts,"SH-dag")</f>
        <v>0</v>
      </c>
      <c r="BC42" s="402" t="s">
        <v>266</v>
      </c>
      <c r="BD42" s="248" t="s">
        <v>210</v>
      </c>
      <c r="BE42" s="244">
        <f>COUNTIFS($AZ$5:$AZ$35,"lø",marts,"skoledag")</f>
        <v>0</v>
      </c>
      <c r="BF42" s="355" t="s">
        <v>265</v>
      </c>
      <c r="BG42" s="356"/>
      <c r="BH42" s="356"/>
      <c r="BI42" s="224">
        <f>COUNTIF(april,"SH-dag")</f>
        <v>3</v>
      </c>
      <c r="BJ42" s="402" t="s">
        <v>266</v>
      </c>
      <c r="BK42" s="248" t="s">
        <v>210</v>
      </c>
      <c r="BL42" s="244">
        <f>COUNTIFS($BG$5:$BG$34,"lø",april,"skoledag")</f>
        <v>0</v>
      </c>
      <c r="BM42" s="355" t="s">
        <v>265</v>
      </c>
      <c r="BN42" s="356"/>
      <c r="BO42" s="356"/>
      <c r="BP42" s="224">
        <f>COUNTIF(maj,"SH-dag")</f>
        <v>2</v>
      </c>
      <c r="BQ42" s="402" t="s">
        <v>266</v>
      </c>
      <c r="BR42" s="248" t="s">
        <v>210</v>
      </c>
      <c r="BS42" s="244">
        <f>COUNTIFS($BN$5:$BN$35,"lø",maj,"skoledag")</f>
        <v>0</v>
      </c>
      <c r="BT42" s="355" t="s">
        <v>265</v>
      </c>
      <c r="BU42" s="356"/>
      <c r="BV42" s="356"/>
      <c r="BW42" s="224">
        <f>COUNTIF(juni,"SH-dag")</f>
        <v>1</v>
      </c>
      <c r="BX42" s="402" t="s">
        <v>266</v>
      </c>
      <c r="BY42" s="248" t="s">
        <v>210</v>
      </c>
      <c r="BZ42" s="244">
        <f>COUNTIFS($BU$5:$BU$34,"lø",juni,"skoledag")</f>
        <v>0</v>
      </c>
      <c r="CA42" s="355" t="s">
        <v>265</v>
      </c>
      <c r="CB42" s="356"/>
      <c r="CC42" s="356"/>
      <c r="CD42" s="224">
        <f>COUNTIF(juli,"SH-dag")</f>
        <v>0</v>
      </c>
      <c r="CE42" s="402" t="s">
        <v>266</v>
      </c>
      <c r="CF42" s="248" t="s">
        <v>210</v>
      </c>
      <c r="CG42" s="244">
        <f>COUNTIFS($CB$5:$CB$35,"lø",juli,"skoledag")</f>
        <v>0</v>
      </c>
      <c r="CH42" s="395"/>
      <c r="CI42" s="248" t="s">
        <v>210</v>
      </c>
      <c r="CJ42" s="422">
        <f t="shared" si="39"/>
        <v>0</v>
      </c>
    </row>
    <row r="43" spans="1:90" s="229" customFormat="1" ht="16" customHeight="1">
      <c r="A43" s="585"/>
      <c r="B43" s="227" t="s">
        <v>217</v>
      </c>
      <c r="C43" s="228"/>
      <c r="D43" s="228"/>
      <c r="E43" s="224">
        <f>COUNTIF(august,"feriedag")</f>
        <v>5</v>
      </c>
      <c r="F43" s="402" t="s">
        <v>267</v>
      </c>
      <c r="G43" s="225" t="s">
        <v>209</v>
      </c>
      <c r="H43" s="226">
        <f>COUNTIFS($C$5:$C$35,"sø",august,"skoledag")</f>
        <v>0</v>
      </c>
      <c r="I43" s="595" t="s">
        <v>217</v>
      </c>
      <c r="J43" s="596"/>
      <c r="K43" s="596"/>
      <c r="L43" s="224">
        <f>COUNTIF(september,"feriedag")</f>
        <v>0</v>
      </c>
      <c r="M43" s="402" t="s">
        <v>267</v>
      </c>
      <c r="N43" s="225" t="s">
        <v>209</v>
      </c>
      <c r="O43" s="226">
        <f>COUNTIFS($J$5:$J$34,"sø",september,"skoledag")</f>
        <v>0</v>
      </c>
      <c r="P43" s="227" t="s">
        <v>217</v>
      </c>
      <c r="Q43" s="228"/>
      <c r="R43" s="228"/>
      <c r="S43" s="224">
        <f>COUNTIF(oktober,"feriedag")</f>
        <v>0</v>
      </c>
      <c r="T43" s="402" t="s">
        <v>267</v>
      </c>
      <c r="U43" s="225" t="s">
        <v>209</v>
      </c>
      <c r="V43" s="226">
        <f>COUNTIFS($Q$5:$Q$35,"sø",oktober,"skoledag")</f>
        <v>0</v>
      </c>
      <c r="W43" s="227" t="s">
        <v>217</v>
      </c>
      <c r="X43" s="228"/>
      <c r="Y43" s="228"/>
      <c r="Z43" s="224">
        <f>COUNTIF(november,"feriedag")</f>
        <v>0</v>
      </c>
      <c r="AA43" s="402" t="s">
        <v>267</v>
      </c>
      <c r="AB43" s="225" t="s">
        <v>209</v>
      </c>
      <c r="AC43" s="226">
        <f>COUNTIFS($X$5:$X$34,"sø",november,"skoledag")</f>
        <v>0</v>
      </c>
      <c r="AD43" s="227" t="s">
        <v>217</v>
      </c>
      <c r="AE43" s="228"/>
      <c r="AF43" s="228"/>
      <c r="AG43" s="224">
        <f>COUNTIF(december,"feriedag")</f>
        <v>0</v>
      </c>
      <c r="AH43" s="402" t="s">
        <v>267</v>
      </c>
      <c r="AI43" s="225" t="s">
        <v>209</v>
      </c>
      <c r="AJ43" s="226">
        <f>COUNTIFS($AE$5:$AE$35,"sø",december,"skoledag")</f>
        <v>0</v>
      </c>
      <c r="AK43" s="227" t="s">
        <v>217</v>
      </c>
      <c r="AL43" s="228"/>
      <c r="AM43" s="228"/>
      <c r="AN43" s="224">
        <f>COUNTIF(januar,"feriedag")</f>
        <v>0</v>
      </c>
      <c r="AO43" s="402" t="s">
        <v>267</v>
      </c>
      <c r="AP43" s="225" t="s">
        <v>209</v>
      </c>
      <c r="AQ43" s="226">
        <f>COUNTIFS($AL$5:$AL$35,"sø",januar,"skoledag")</f>
        <v>0</v>
      </c>
      <c r="AR43" s="227" t="s">
        <v>217</v>
      </c>
      <c r="AS43" s="228"/>
      <c r="AT43" s="228"/>
      <c r="AU43" s="224">
        <f>COUNTIF(februar,"feriedag")</f>
        <v>0</v>
      </c>
      <c r="AV43" s="402" t="s">
        <v>267</v>
      </c>
      <c r="AW43" s="225" t="s">
        <v>209</v>
      </c>
      <c r="AX43" s="226">
        <f>COUNTIFS($AS$5:$AS$33,"sø",februar,"skoledag")</f>
        <v>0</v>
      </c>
      <c r="AY43" s="227" t="s">
        <v>217</v>
      </c>
      <c r="AZ43" s="228"/>
      <c r="BA43" s="228"/>
      <c r="BB43" s="224">
        <f>COUNTIF(marts,"feriedag")</f>
        <v>0</v>
      </c>
      <c r="BC43" s="402" t="s">
        <v>267</v>
      </c>
      <c r="BD43" s="225" t="s">
        <v>209</v>
      </c>
      <c r="BE43" s="226">
        <f>COUNTIFS($AZ$5:$AZ$35,"sø",marts,"skoledag")</f>
        <v>0</v>
      </c>
      <c r="BF43" s="227" t="s">
        <v>217</v>
      </c>
      <c r="BG43" s="228"/>
      <c r="BH43" s="228"/>
      <c r="BI43" s="224">
        <f>COUNTIF(april,"feriedag")</f>
        <v>0</v>
      </c>
      <c r="BJ43" s="402" t="s">
        <v>267</v>
      </c>
      <c r="BK43" s="225" t="s">
        <v>209</v>
      </c>
      <c r="BL43" s="226">
        <f>COUNTIFS($BG$5:$BG$34,"sø",april,"skoledag")</f>
        <v>0</v>
      </c>
      <c r="BM43" s="227" t="s">
        <v>217</v>
      </c>
      <c r="BN43" s="228"/>
      <c r="BO43" s="228"/>
      <c r="BP43" s="224">
        <f>COUNTIF(maj,"feriedag")</f>
        <v>0</v>
      </c>
      <c r="BQ43" s="402" t="s">
        <v>267</v>
      </c>
      <c r="BR43" s="225" t="s">
        <v>209</v>
      </c>
      <c r="BS43" s="226">
        <f>COUNTIFS($BN$5:$BN$35,"sø",maj,"skoledag")</f>
        <v>0</v>
      </c>
      <c r="BT43" s="227" t="s">
        <v>217</v>
      </c>
      <c r="BU43" s="228"/>
      <c r="BV43" s="228"/>
      <c r="BW43" s="224">
        <f>COUNTIF(juni,"feriedag")</f>
        <v>0</v>
      </c>
      <c r="BX43" s="402" t="s">
        <v>267</v>
      </c>
      <c r="BY43" s="225" t="s">
        <v>209</v>
      </c>
      <c r="BZ43" s="226">
        <f>COUNTIFS($BU$5:$BU$34,"sø",juni,"skoledag")</f>
        <v>0</v>
      </c>
      <c r="CA43" s="227" t="s">
        <v>217</v>
      </c>
      <c r="CB43" s="228"/>
      <c r="CC43" s="228"/>
      <c r="CD43" s="224">
        <f>COUNTIF(juli,"feriedag")</f>
        <v>16</v>
      </c>
      <c r="CE43" s="402" t="s">
        <v>267</v>
      </c>
      <c r="CF43" s="225" t="s">
        <v>209</v>
      </c>
      <c r="CG43" s="226">
        <f>COUNTIFS($CB$5:$CB$35,"sø",juli,"skoledag")</f>
        <v>0</v>
      </c>
      <c r="CH43" s="395"/>
      <c r="CI43" s="227" t="s">
        <v>209</v>
      </c>
      <c r="CJ43" s="423">
        <f t="shared" si="39"/>
        <v>0</v>
      </c>
    </row>
    <row r="44" spans="1:90" s="229" customFormat="1" ht="14" thickBot="1">
      <c r="A44" s="585"/>
      <c r="B44" s="248" t="s">
        <v>272</v>
      </c>
      <c r="C44" s="247"/>
      <c r="D44" s="247"/>
      <c r="E44" s="244">
        <f>COUNTIF(august,"Nul-dag")</f>
        <v>2</v>
      </c>
      <c r="F44" s="402" t="s">
        <v>392</v>
      </c>
      <c r="G44" s="243"/>
      <c r="H44" s="243"/>
      <c r="I44" s="248" t="s">
        <v>272</v>
      </c>
      <c r="J44" s="247"/>
      <c r="K44" s="247"/>
      <c r="L44" s="244">
        <f>COUNTIF(september,"Nul-dag")</f>
        <v>0</v>
      </c>
      <c r="M44" s="402" t="s">
        <v>392</v>
      </c>
      <c r="N44" s="243"/>
      <c r="O44" s="243"/>
      <c r="P44" s="248" t="str">
        <f>I44</f>
        <v>Nul--dage</v>
      </c>
      <c r="Q44" s="247"/>
      <c r="R44" s="247"/>
      <c r="S44" s="244">
        <f>COUNTIF(oktober,"Nul-dag")</f>
        <v>5</v>
      </c>
      <c r="T44" s="402" t="s">
        <v>392</v>
      </c>
      <c r="U44" s="243"/>
      <c r="V44" s="243"/>
      <c r="W44" s="248" t="str">
        <f>P44</f>
        <v>Nul--dage</v>
      </c>
      <c r="X44" s="247"/>
      <c r="Y44" s="247"/>
      <c r="Z44" s="244">
        <f>COUNTIF(november,"Nul-dag")</f>
        <v>0</v>
      </c>
      <c r="AA44" s="402" t="s">
        <v>392</v>
      </c>
      <c r="AB44" s="243"/>
      <c r="AC44" s="243"/>
      <c r="AD44" s="248" t="str">
        <f>W44</f>
        <v>Nul--dage</v>
      </c>
      <c r="AE44" s="247"/>
      <c r="AF44" s="247"/>
      <c r="AG44" s="244">
        <f>COUNTIF(december,"Nul-dag")</f>
        <v>5</v>
      </c>
      <c r="AH44" s="402" t="s">
        <v>392</v>
      </c>
      <c r="AI44" s="243"/>
      <c r="AJ44" s="243"/>
      <c r="AK44" s="248" t="str">
        <f>AD44</f>
        <v>Nul--dage</v>
      </c>
      <c r="AL44" s="247"/>
      <c r="AM44" s="247"/>
      <c r="AN44" s="244">
        <f>COUNTIF(januar,"Nul-dag")</f>
        <v>2</v>
      </c>
      <c r="AO44" s="402" t="s">
        <v>392</v>
      </c>
      <c r="AP44" s="243"/>
      <c r="AQ44" s="243"/>
      <c r="AR44" s="248" t="str">
        <f>AK44</f>
        <v>Nul--dage</v>
      </c>
      <c r="AS44" s="247"/>
      <c r="AT44" s="247"/>
      <c r="AU44" s="244">
        <f>COUNTIF(februar,"Nul-dag")</f>
        <v>5</v>
      </c>
      <c r="AV44" s="402" t="s">
        <v>392</v>
      </c>
      <c r="AW44" s="243"/>
      <c r="AX44" s="243"/>
      <c r="AY44" s="248" t="str">
        <f>AR44</f>
        <v>Nul--dage</v>
      </c>
      <c r="AZ44" s="247"/>
      <c r="BA44" s="247"/>
      <c r="BB44" s="244">
        <f>COUNTIF(marts,"Nul-dag")</f>
        <v>0</v>
      </c>
      <c r="BC44" s="402" t="s">
        <v>392</v>
      </c>
      <c r="BD44" s="243"/>
      <c r="BE44" s="243"/>
      <c r="BF44" s="248" t="str">
        <f>AY44</f>
        <v>Nul--dage</v>
      </c>
      <c r="BG44" s="247"/>
      <c r="BH44" s="247"/>
      <c r="BI44" s="244">
        <f>COUNTIF(april,"Nul-dag")</f>
        <v>3</v>
      </c>
      <c r="BJ44" s="402" t="s">
        <v>392</v>
      </c>
      <c r="BK44" s="243"/>
      <c r="BL44" s="243"/>
      <c r="BM44" s="248" t="str">
        <f>BF44</f>
        <v>Nul--dage</v>
      </c>
      <c r="BN44" s="247"/>
      <c r="BO44" s="247"/>
      <c r="BP44" s="244">
        <f>COUNTIF(maj,"Nul-dag")</f>
        <v>1</v>
      </c>
      <c r="BQ44" s="402" t="s">
        <v>392</v>
      </c>
      <c r="BR44" s="243"/>
      <c r="BS44" s="243"/>
      <c r="BT44" s="248" t="str">
        <f>BM44</f>
        <v>Nul--dage</v>
      </c>
      <c r="BU44" s="247"/>
      <c r="BV44" s="247"/>
      <c r="BW44" s="244">
        <f>COUNTIF(juni,"Nul-dag")</f>
        <v>2</v>
      </c>
      <c r="BX44" s="402" t="s">
        <v>392</v>
      </c>
      <c r="BY44" s="243"/>
      <c r="BZ44" s="243"/>
      <c r="CA44" s="248" t="str">
        <f>BT44</f>
        <v>Nul--dage</v>
      </c>
      <c r="CB44" s="247"/>
      <c r="CC44" s="247"/>
      <c r="CD44" s="244">
        <f>COUNTIF(juli,"Nul-dag")</f>
        <v>7</v>
      </c>
      <c r="CE44" s="402" t="s">
        <v>392</v>
      </c>
      <c r="CF44" s="243"/>
      <c r="CG44" s="243"/>
      <c r="CH44" s="427"/>
      <c r="CI44" s="435" t="s">
        <v>208</v>
      </c>
      <c r="CJ44" s="424">
        <f>SUM(CJ37:CJ43)</f>
        <v>200</v>
      </c>
    </row>
    <row r="45" spans="1:90" s="229" customFormat="1">
      <c r="A45" s="585"/>
      <c r="B45" s="501" t="s">
        <v>353</v>
      </c>
      <c r="C45" s="253"/>
      <c r="D45" s="253"/>
      <c r="E45" s="502">
        <f>COUNTIF(august,"Ikke relevant")</f>
        <v>0</v>
      </c>
      <c r="F45" s="402" t="s">
        <v>354</v>
      </c>
      <c r="G45" s="243"/>
      <c r="H45" s="243"/>
      <c r="I45" s="501" t="s">
        <v>353</v>
      </c>
      <c r="J45" s="253"/>
      <c r="K45" s="253"/>
      <c r="L45" s="502">
        <f>COUNTIF(september,"Ikke relevant")</f>
        <v>0</v>
      </c>
      <c r="M45" s="402" t="s">
        <v>354</v>
      </c>
      <c r="N45" s="237"/>
      <c r="O45" s="237"/>
      <c r="P45" s="501" t="s">
        <v>353</v>
      </c>
      <c r="Q45" s="253"/>
      <c r="R45" s="253"/>
      <c r="S45" s="502">
        <f>COUNTIF(oktober,"Ikke relevant")</f>
        <v>0</v>
      </c>
      <c r="T45" s="402" t="s">
        <v>354</v>
      </c>
      <c r="U45" s="237"/>
      <c r="V45" s="237"/>
      <c r="W45" s="501" t="s">
        <v>353</v>
      </c>
      <c r="X45" s="253"/>
      <c r="Y45" s="253"/>
      <c r="Z45" s="502">
        <f>COUNTIF(november,"Ikke relevant")</f>
        <v>0</v>
      </c>
      <c r="AA45" s="402" t="s">
        <v>354</v>
      </c>
      <c r="AB45" s="237"/>
      <c r="AC45" s="237"/>
      <c r="AD45" s="501" t="s">
        <v>353</v>
      </c>
      <c r="AE45" s="253"/>
      <c r="AF45" s="253"/>
      <c r="AG45" s="502">
        <f>COUNTIF(december,"Ikke relevant")</f>
        <v>0</v>
      </c>
      <c r="AH45" s="402" t="s">
        <v>354</v>
      </c>
      <c r="AI45" s="237"/>
      <c r="AJ45" s="237"/>
      <c r="AK45" s="501" t="s">
        <v>353</v>
      </c>
      <c r="AL45" s="253"/>
      <c r="AM45" s="253"/>
      <c r="AN45" s="502">
        <f>COUNTIF(januar,"Ikke relevant")</f>
        <v>0</v>
      </c>
      <c r="AO45" s="402" t="s">
        <v>354</v>
      </c>
      <c r="AP45" s="237"/>
      <c r="AQ45" s="237"/>
      <c r="AR45" s="501" t="s">
        <v>353</v>
      </c>
      <c r="AS45" s="253"/>
      <c r="AT45" s="253"/>
      <c r="AU45" s="502">
        <f>COUNTIF(februar,"Ikke relevant")</f>
        <v>0</v>
      </c>
      <c r="AV45" s="402" t="s">
        <v>354</v>
      </c>
      <c r="AW45" s="237"/>
      <c r="AX45" s="237"/>
      <c r="AY45" s="501" t="s">
        <v>353</v>
      </c>
      <c r="AZ45" s="253"/>
      <c r="BA45" s="253"/>
      <c r="BB45" s="502">
        <f>COUNTIF(marts,"Ikke relevant")</f>
        <v>0</v>
      </c>
      <c r="BC45" s="402" t="s">
        <v>354</v>
      </c>
      <c r="BD45" s="237"/>
      <c r="BE45" s="237"/>
      <c r="BF45" s="501" t="s">
        <v>353</v>
      </c>
      <c r="BG45" s="253"/>
      <c r="BH45" s="253"/>
      <c r="BI45" s="502">
        <f>COUNTIF(april,"Ikke relevant")</f>
        <v>0</v>
      </c>
      <c r="BJ45" s="402" t="s">
        <v>354</v>
      </c>
      <c r="BK45" s="237"/>
      <c r="BL45" s="237"/>
      <c r="BM45" s="501" t="s">
        <v>353</v>
      </c>
      <c r="BN45" s="253"/>
      <c r="BO45" s="253"/>
      <c r="BP45" s="502">
        <f>COUNTIF(maj,"Ikke relevant")</f>
        <v>0</v>
      </c>
      <c r="BQ45" s="402" t="s">
        <v>354</v>
      </c>
      <c r="BR45" s="237"/>
      <c r="BS45" s="237"/>
      <c r="BT45" s="501" t="s">
        <v>353</v>
      </c>
      <c r="BU45" s="253"/>
      <c r="BV45" s="253"/>
      <c r="BW45" s="502">
        <f>COUNTIF(juni,"Ikke relevant")</f>
        <v>0</v>
      </c>
      <c r="BX45" s="402" t="s">
        <v>354</v>
      </c>
      <c r="BY45" s="237"/>
      <c r="BZ45" s="237"/>
      <c r="CA45" s="501" t="s">
        <v>353</v>
      </c>
      <c r="CB45" s="253"/>
      <c r="CC45" s="253"/>
      <c r="CD45" s="502">
        <f>COUNTIF(juli,"Ikke relevant")</f>
        <v>0</v>
      </c>
      <c r="CE45" s="402" t="s">
        <v>354</v>
      </c>
      <c r="CH45" s="237"/>
      <c r="CI45" s="216"/>
      <c r="CJ45" s="216"/>
    </row>
    <row r="46" spans="1:90" s="229" customFormat="1">
      <c r="A46" s="370"/>
      <c r="B46" s="238" t="s">
        <v>216</v>
      </c>
      <c r="C46" s="239"/>
      <c r="D46" s="239"/>
      <c r="E46" s="240">
        <f>SUM(E37:E45)</f>
        <v>31</v>
      </c>
      <c r="F46" s="402"/>
      <c r="G46" s="237"/>
      <c r="H46" s="237"/>
      <c r="I46" s="242" t="s">
        <v>216</v>
      </c>
      <c r="J46" s="241"/>
      <c r="K46" s="241"/>
      <c r="L46" s="240">
        <f>SUM(L37:L45)</f>
        <v>30</v>
      </c>
      <c r="M46" s="237"/>
      <c r="N46" s="236"/>
      <c r="O46" s="236"/>
      <c r="P46" s="242" t="s">
        <v>216</v>
      </c>
      <c r="Q46" s="241"/>
      <c r="R46" s="241"/>
      <c r="S46" s="240">
        <f>SUM(S37:S45)</f>
        <v>31</v>
      </c>
      <c r="T46" s="237"/>
      <c r="U46" s="236"/>
      <c r="V46" s="236"/>
      <c r="W46" s="242" t="s">
        <v>216</v>
      </c>
      <c r="X46" s="241"/>
      <c r="Y46" s="241"/>
      <c r="Z46" s="240">
        <f>SUM(Z37:Z45)</f>
        <v>30</v>
      </c>
      <c r="AA46" s="237"/>
      <c r="AB46" s="236"/>
      <c r="AC46" s="236"/>
      <c r="AD46" s="242" t="s">
        <v>216</v>
      </c>
      <c r="AE46" s="241"/>
      <c r="AF46" s="241"/>
      <c r="AG46" s="240">
        <f>SUM(AG37:AG45)</f>
        <v>31</v>
      </c>
      <c r="AH46" s="237"/>
      <c r="AI46" s="236"/>
      <c r="AJ46" s="236"/>
      <c r="AK46" s="242" t="s">
        <v>216</v>
      </c>
      <c r="AL46" s="241"/>
      <c r="AM46" s="241"/>
      <c r="AN46" s="240">
        <f>SUM(AN37:AN45)</f>
        <v>31</v>
      </c>
      <c r="AO46" s="237"/>
      <c r="AP46" s="236"/>
      <c r="AQ46" s="236"/>
      <c r="AR46" s="242" t="s">
        <v>216</v>
      </c>
      <c r="AS46" s="241"/>
      <c r="AT46" s="241"/>
      <c r="AU46" s="240">
        <f>SUM(AU37:AU45)</f>
        <v>29</v>
      </c>
      <c r="AV46" s="237"/>
      <c r="AW46" s="236"/>
      <c r="AX46" s="236"/>
      <c r="AY46" s="242" t="s">
        <v>216</v>
      </c>
      <c r="AZ46" s="241"/>
      <c r="BA46" s="241"/>
      <c r="BB46" s="240">
        <f>SUM(BB37:BB45)</f>
        <v>31</v>
      </c>
      <c r="BC46" s="237"/>
      <c r="BD46" s="236"/>
      <c r="BE46" s="236"/>
      <c r="BF46" s="242" t="s">
        <v>216</v>
      </c>
      <c r="BG46" s="241"/>
      <c r="BH46" s="241"/>
      <c r="BI46" s="240">
        <f>SUM(BI37:BI45)</f>
        <v>30</v>
      </c>
      <c r="BJ46" s="237"/>
      <c r="BK46" s="236"/>
      <c r="BL46" s="236"/>
      <c r="BM46" s="242" t="s">
        <v>216</v>
      </c>
      <c r="BN46" s="241"/>
      <c r="BO46" s="241"/>
      <c r="BP46" s="240">
        <f>SUM(BP37:BP45)</f>
        <v>31</v>
      </c>
      <c r="BQ46" s="237"/>
      <c r="BR46" s="236"/>
      <c r="BS46" s="236"/>
      <c r="BT46" s="242" t="s">
        <v>216</v>
      </c>
      <c r="BU46" s="241"/>
      <c r="BV46" s="241"/>
      <c r="BW46" s="240">
        <f>SUM(BW37:BW45)</f>
        <v>30</v>
      </c>
      <c r="BX46" s="237"/>
      <c r="BY46" s="236"/>
      <c r="BZ46" s="236"/>
      <c r="CA46" s="238" t="s">
        <v>216</v>
      </c>
      <c r="CB46" s="239"/>
      <c r="CC46" s="239"/>
      <c r="CD46" s="223">
        <f>SUM(CD37:CD45)</f>
        <v>31</v>
      </c>
      <c r="CF46" s="235"/>
      <c r="CG46" s="235"/>
      <c r="CH46" s="236"/>
      <c r="CI46" s="216"/>
      <c r="CJ46" s="216"/>
    </row>
    <row r="47" spans="1:90" s="229" customFormat="1" ht="18" customHeight="1">
      <c r="A47" s="371" t="s">
        <v>229</v>
      </c>
      <c r="E47" s="237"/>
      <c r="F47" s="237"/>
      <c r="G47" s="236"/>
      <c r="H47" s="236"/>
      <c r="J47" s="237"/>
      <c r="K47" s="237"/>
      <c r="L47" s="237"/>
      <c r="M47" s="236"/>
      <c r="N47" s="234"/>
      <c r="O47" s="234"/>
      <c r="Q47" s="237"/>
      <c r="R47" s="237"/>
      <c r="S47" s="237"/>
      <c r="T47" s="236"/>
      <c r="U47" s="234"/>
      <c r="V47" s="234"/>
      <c r="X47" s="237"/>
      <c r="Y47" s="237"/>
      <c r="Z47" s="237"/>
      <c r="AA47" s="236"/>
      <c r="AB47" s="234"/>
      <c r="AC47" s="234"/>
      <c r="AE47" s="237"/>
      <c r="AF47" s="237"/>
      <c r="AG47" s="237"/>
      <c r="AH47" s="236"/>
      <c r="AI47" s="234"/>
      <c r="AJ47" s="234"/>
      <c r="AL47" s="237"/>
      <c r="AM47" s="237"/>
      <c r="AN47" s="237"/>
      <c r="AO47" s="236"/>
      <c r="AP47" s="234"/>
      <c r="AQ47" s="234"/>
      <c r="AS47" s="237"/>
      <c r="AT47" s="237"/>
      <c r="AU47" s="237"/>
      <c r="AV47" s="236"/>
      <c r="AW47" s="234"/>
      <c r="AX47" s="234"/>
      <c r="AZ47" s="237"/>
      <c r="BA47" s="237"/>
      <c r="BB47" s="237"/>
      <c r="BC47" s="236"/>
      <c r="BD47" s="234"/>
      <c r="BE47" s="234"/>
      <c r="BG47" s="237"/>
      <c r="BH47" s="237"/>
      <c r="BI47" s="237"/>
      <c r="BJ47" s="236"/>
      <c r="BK47" s="234"/>
      <c r="BL47" s="234"/>
      <c r="BN47" s="237"/>
      <c r="BO47" s="237"/>
      <c r="BP47" s="237"/>
      <c r="BQ47" s="236"/>
      <c r="BR47" s="234"/>
      <c r="BS47" s="234"/>
      <c r="BU47" s="237"/>
      <c r="BV47" s="237"/>
      <c r="BW47" s="237"/>
      <c r="BX47" s="236"/>
      <c r="BY47" s="234"/>
      <c r="BZ47" s="234"/>
      <c r="CE47" s="235"/>
      <c r="CF47" s="232"/>
      <c r="CG47" s="232"/>
      <c r="CH47" s="234"/>
      <c r="CI47" s="216"/>
      <c r="CJ47" s="216"/>
    </row>
    <row r="48" spans="1:90">
      <c r="A48" s="371" t="s">
        <v>228</v>
      </c>
      <c r="E48" s="221"/>
      <c r="F48" s="236"/>
      <c r="I48" s="221"/>
      <c r="J48" s="221"/>
      <c r="K48" s="221"/>
      <c r="L48" s="221"/>
      <c r="M48" s="234"/>
      <c r="N48" s="221"/>
      <c r="O48" s="221"/>
      <c r="P48" s="221"/>
      <c r="Q48" s="221"/>
      <c r="R48" s="221"/>
      <c r="S48" s="221"/>
      <c r="T48" s="234"/>
      <c r="U48" s="221"/>
      <c r="V48" s="221"/>
      <c r="W48" s="221"/>
      <c r="X48" s="221"/>
      <c r="Y48" s="221"/>
      <c r="Z48" s="221"/>
      <c r="AA48" s="234"/>
      <c r="AB48" s="221"/>
      <c r="AC48" s="221"/>
      <c r="AD48" s="221"/>
      <c r="AE48" s="221"/>
      <c r="AF48" s="221"/>
      <c r="AG48" s="221"/>
      <c r="AH48" s="234"/>
      <c r="AI48" s="221"/>
      <c r="AJ48" s="221"/>
      <c r="AK48" s="221"/>
      <c r="AL48" s="221"/>
      <c r="AM48" s="221"/>
      <c r="AN48" s="222"/>
      <c r="AO48" s="234"/>
      <c r="AP48" s="221"/>
      <c r="AQ48" s="221"/>
      <c r="AR48" s="221"/>
      <c r="AS48" s="221"/>
      <c r="AT48" s="221"/>
      <c r="AU48" s="222"/>
      <c r="AV48" s="234"/>
      <c r="AW48" s="221"/>
      <c r="AX48" s="221"/>
      <c r="AY48" s="221"/>
      <c r="AZ48" s="221"/>
      <c r="BA48" s="221"/>
      <c r="BB48" s="222"/>
      <c r="BC48" s="234"/>
      <c r="BD48" s="221"/>
      <c r="BE48" s="221"/>
      <c r="BF48" s="221"/>
      <c r="BG48" s="221"/>
      <c r="BH48" s="221"/>
      <c r="BI48" s="221"/>
      <c r="BJ48" s="234"/>
      <c r="BK48" s="221"/>
      <c r="BL48" s="221"/>
      <c r="BM48" s="221"/>
      <c r="BN48" s="221"/>
      <c r="BO48" s="221"/>
      <c r="BP48" s="221"/>
      <c r="BQ48" s="234"/>
      <c r="BR48" s="221"/>
      <c r="BS48" s="221"/>
      <c r="BT48" s="221"/>
      <c r="BU48" s="221"/>
      <c r="BV48" s="221"/>
      <c r="BW48" s="221"/>
      <c r="BX48" s="234"/>
      <c r="BY48" s="221"/>
      <c r="BZ48" s="221"/>
      <c r="CA48" s="253"/>
      <c r="CB48" s="253"/>
      <c r="CC48" s="253"/>
      <c r="CD48" s="253"/>
      <c r="CE48" s="232"/>
    </row>
    <row r="49" spans="1:82">
      <c r="A49" s="371" t="s">
        <v>227</v>
      </c>
      <c r="E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2"/>
      <c r="AO49" s="221"/>
      <c r="AP49" s="221"/>
      <c r="AQ49" s="221"/>
      <c r="AR49" s="221"/>
      <c r="AS49" s="221"/>
      <c r="AT49" s="221"/>
      <c r="AU49" s="222"/>
      <c r="AV49" s="221"/>
      <c r="AW49" s="221"/>
      <c r="AX49" s="221"/>
      <c r="AY49" s="221"/>
      <c r="AZ49" s="221"/>
      <c r="BA49" s="221"/>
      <c r="BB49" s="222"/>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53"/>
      <c r="CB49" s="253"/>
      <c r="CC49" s="253"/>
      <c r="CD49" s="253"/>
    </row>
    <row r="50" spans="1:82">
      <c r="A50" s="371" t="s">
        <v>226</v>
      </c>
      <c r="E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2"/>
      <c r="AO50" s="221"/>
      <c r="AP50" s="221"/>
      <c r="AQ50" s="221"/>
      <c r="AR50" s="221"/>
      <c r="AS50" s="221"/>
      <c r="AT50" s="221"/>
      <c r="AU50" s="222"/>
      <c r="AV50" s="221"/>
      <c r="AW50" s="221"/>
      <c r="AX50" s="221"/>
      <c r="AY50" s="221"/>
      <c r="AZ50" s="221"/>
      <c r="BA50" s="221"/>
      <c r="BB50" s="222"/>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53"/>
      <c r="CB50" s="253"/>
      <c r="CC50" s="253"/>
      <c r="CD50" s="253"/>
    </row>
    <row r="51" spans="1:82">
      <c r="A51" s="371" t="s">
        <v>225</v>
      </c>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2"/>
      <c r="AO51" s="221"/>
      <c r="AP51" s="221"/>
      <c r="AQ51" s="221"/>
      <c r="AR51" s="221"/>
      <c r="AS51" s="221"/>
      <c r="AT51" s="221"/>
      <c r="AU51" s="222"/>
      <c r="AV51" s="221"/>
      <c r="AW51" s="221"/>
      <c r="AX51" s="221"/>
      <c r="AY51" s="221"/>
      <c r="AZ51" s="221"/>
      <c r="BA51" s="221"/>
      <c r="BB51" s="222"/>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53"/>
      <c r="CB51" s="253"/>
      <c r="CC51" s="253"/>
      <c r="CD51" s="253"/>
    </row>
    <row r="52" spans="1:82">
      <c r="A52" s="371" t="s">
        <v>223</v>
      </c>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2"/>
      <c r="AO52" s="221"/>
      <c r="AP52" s="221"/>
      <c r="AQ52" s="221"/>
      <c r="AR52" s="221"/>
      <c r="AS52" s="221"/>
      <c r="AT52" s="221"/>
      <c r="AU52" s="222"/>
      <c r="AV52" s="221"/>
      <c r="AW52" s="221"/>
      <c r="AX52" s="221"/>
      <c r="AY52" s="221"/>
      <c r="AZ52" s="221"/>
      <c r="BA52" s="221"/>
      <c r="BB52" s="222"/>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221"/>
      <c r="BY52" s="221"/>
      <c r="BZ52" s="221"/>
      <c r="CA52" s="253"/>
      <c r="CB52" s="253"/>
      <c r="CC52" s="253"/>
      <c r="CD52" s="253"/>
    </row>
    <row r="53" spans="1:82">
      <c r="A53" s="371" t="s">
        <v>240</v>
      </c>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2"/>
      <c r="AO53" s="221"/>
      <c r="AP53" s="221"/>
      <c r="AQ53" s="221"/>
      <c r="AR53" s="221"/>
      <c r="AS53" s="221"/>
      <c r="AT53" s="221"/>
      <c r="AU53" s="222"/>
      <c r="AV53" s="221"/>
      <c r="AW53" s="221"/>
      <c r="AX53" s="221"/>
      <c r="AY53" s="221"/>
      <c r="AZ53" s="221"/>
      <c r="BA53" s="221"/>
      <c r="BB53" s="222"/>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53"/>
      <c r="CB53" s="253"/>
      <c r="CC53" s="253"/>
      <c r="CD53" s="253"/>
    </row>
    <row r="54" spans="1:82">
      <c r="A54" s="371" t="s">
        <v>241</v>
      </c>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2"/>
      <c r="AO54" s="221"/>
      <c r="AP54" s="221"/>
      <c r="AQ54" s="221"/>
      <c r="AR54" s="221"/>
      <c r="AS54" s="221"/>
      <c r="AT54" s="221"/>
      <c r="AU54" s="222"/>
      <c r="AV54" s="221"/>
      <c r="AW54" s="221"/>
      <c r="AX54" s="221"/>
      <c r="AY54" s="221"/>
      <c r="AZ54" s="221"/>
      <c r="BA54" s="221"/>
      <c r="BB54" s="222"/>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53"/>
      <c r="CB54" s="253"/>
      <c r="CC54" s="253"/>
      <c r="CD54" s="253"/>
    </row>
    <row r="55" spans="1:82">
      <c r="A55" s="372" t="s">
        <v>221</v>
      </c>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2"/>
      <c r="AO55" s="221"/>
      <c r="AP55" s="221"/>
      <c r="AQ55" s="221"/>
      <c r="AR55" s="221"/>
      <c r="AS55" s="221"/>
      <c r="AT55" s="221"/>
      <c r="AU55" s="222"/>
      <c r="AV55" s="221"/>
      <c r="AW55" s="221"/>
      <c r="AX55" s="221"/>
      <c r="AY55" s="221"/>
      <c r="AZ55" s="221"/>
      <c r="BA55" s="221"/>
      <c r="BB55" s="222"/>
      <c r="BC55" s="221"/>
      <c r="BD55" s="221"/>
      <c r="BE55" s="221"/>
      <c r="BF55" s="221"/>
      <c r="BG55" s="221"/>
      <c r="BH55" s="221"/>
      <c r="BI55" s="221"/>
      <c r="BJ55" s="221"/>
      <c r="BK55" s="221"/>
      <c r="BL55" s="221"/>
      <c r="BM55" s="221"/>
      <c r="BN55" s="221"/>
      <c r="BO55" s="221"/>
      <c r="BP55" s="221"/>
      <c r="BQ55" s="221"/>
      <c r="BR55" s="221"/>
      <c r="BS55" s="221"/>
      <c r="BT55" s="221"/>
      <c r="BU55" s="221"/>
      <c r="BV55" s="221"/>
      <c r="BW55" s="221"/>
      <c r="BX55" s="221"/>
      <c r="BY55" s="221"/>
      <c r="BZ55" s="221"/>
    </row>
    <row r="56" spans="1:82">
      <c r="A56" s="371" t="s">
        <v>268</v>
      </c>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2"/>
      <c r="AO56" s="221"/>
      <c r="AP56" s="221"/>
      <c r="AQ56" s="221"/>
      <c r="AR56" s="221"/>
      <c r="AS56" s="221"/>
      <c r="AT56" s="221"/>
      <c r="AU56" s="222"/>
      <c r="AV56" s="221"/>
      <c r="AW56" s="221"/>
      <c r="AX56" s="221"/>
      <c r="AY56" s="221"/>
      <c r="AZ56" s="221"/>
      <c r="BA56" s="221"/>
      <c r="BB56" s="222"/>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row>
    <row r="57" spans="1:82">
      <c r="A57" s="500" t="s">
        <v>353</v>
      </c>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2"/>
      <c r="AO57" s="221"/>
      <c r="AP57" s="221"/>
      <c r="AQ57" s="221"/>
      <c r="AR57" s="221"/>
      <c r="AS57" s="221"/>
      <c r="AT57" s="221"/>
      <c r="AU57" s="222"/>
      <c r="AV57" s="221"/>
      <c r="AW57" s="221"/>
      <c r="AX57" s="221"/>
      <c r="AY57" s="221"/>
      <c r="AZ57" s="221"/>
      <c r="BA57" s="221"/>
      <c r="BB57" s="222"/>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row>
    <row r="58" spans="1:82" ht="20">
      <c r="A58" s="495" t="s">
        <v>341</v>
      </c>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2"/>
      <c r="AO58" s="221"/>
      <c r="AP58" s="221"/>
      <c r="AQ58" s="221"/>
      <c r="AR58" s="221"/>
      <c r="AS58" s="221"/>
      <c r="AT58" s="221"/>
      <c r="AU58" s="222"/>
      <c r="AV58" s="221"/>
      <c r="AW58" s="221"/>
      <c r="AX58" s="221"/>
      <c r="AY58" s="221"/>
      <c r="AZ58" s="221"/>
      <c r="BA58" s="221"/>
      <c r="BB58" s="222"/>
      <c r="BC58" s="221"/>
      <c r="BD58" s="221"/>
      <c r="BE58" s="221"/>
      <c r="BF58" s="221"/>
      <c r="BG58" s="221"/>
      <c r="BH58" s="221"/>
      <c r="BI58" s="221"/>
      <c r="BJ58" s="221"/>
      <c r="BK58" s="221"/>
      <c r="BL58" s="221"/>
      <c r="BM58" s="221"/>
      <c r="BN58" s="221"/>
      <c r="BO58" s="221"/>
      <c r="BP58" s="221"/>
      <c r="BQ58" s="221"/>
      <c r="BR58" s="221"/>
      <c r="BS58" s="221"/>
      <c r="BT58" s="221"/>
      <c r="BU58" s="221"/>
      <c r="BV58" s="221"/>
      <c r="BW58" s="221"/>
      <c r="BX58" s="221"/>
      <c r="BY58" s="221"/>
      <c r="BZ58" s="221"/>
    </row>
    <row r="59" spans="1:82" ht="16">
      <c r="A59" s="494" t="s">
        <v>359</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2"/>
      <c r="AO59" s="221"/>
      <c r="AP59" s="221"/>
      <c r="AQ59" s="221"/>
      <c r="AR59" s="221"/>
      <c r="AS59" s="221"/>
      <c r="AT59" s="221"/>
      <c r="AU59" s="222"/>
      <c r="AV59" s="221"/>
      <c r="AW59" s="221"/>
      <c r="AX59" s="221"/>
      <c r="AY59" s="221"/>
      <c r="AZ59" s="221"/>
      <c r="BA59" s="221"/>
      <c r="BB59" s="222"/>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21"/>
    </row>
    <row r="60" spans="1:82" ht="16">
      <c r="A60" s="494" t="s">
        <v>340</v>
      </c>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2"/>
      <c r="AO60" s="221"/>
      <c r="AP60" s="221"/>
      <c r="AQ60" s="221"/>
      <c r="AR60" s="221"/>
      <c r="AS60" s="221"/>
      <c r="AT60" s="221"/>
      <c r="AU60" s="222"/>
      <c r="AV60" s="221"/>
      <c r="AW60" s="221"/>
      <c r="AX60" s="221"/>
      <c r="AY60" s="221"/>
      <c r="AZ60" s="221"/>
      <c r="BA60" s="221"/>
      <c r="BB60" s="222"/>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21"/>
    </row>
    <row r="61" spans="1:82">
      <c r="A61" s="353"/>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2"/>
      <c r="AO61" s="221"/>
      <c r="AP61" s="221"/>
      <c r="AQ61" s="221"/>
      <c r="AR61" s="221"/>
      <c r="AS61" s="221"/>
      <c r="AT61" s="221"/>
      <c r="AU61" s="222"/>
      <c r="AV61" s="221"/>
      <c r="AW61" s="221"/>
      <c r="AX61" s="221"/>
      <c r="AY61" s="221"/>
      <c r="AZ61" s="221"/>
      <c r="BA61" s="221"/>
      <c r="BB61" s="222"/>
      <c r="BC61" s="221"/>
      <c r="BD61" s="221"/>
      <c r="BE61" s="221"/>
      <c r="BF61" s="221"/>
      <c r="BG61" s="221"/>
      <c r="BH61" s="221"/>
      <c r="BI61" s="221"/>
      <c r="BJ61" s="221"/>
      <c r="BK61" s="221"/>
      <c r="BL61" s="221"/>
      <c r="BM61" s="221"/>
      <c r="BN61" s="221"/>
      <c r="BO61" s="221"/>
      <c r="BP61" s="221"/>
      <c r="BQ61" s="221"/>
      <c r="BR61" s="221"/>
      <c r="BS61" s="221"/>
      <c r="BT61" s="221"/>
      <c r="BU61" s="221"/>
      <c r="BV61" s="221"/>
      <c r="BW61" s="221"/>
      <c r="BX61" s="221"/>
      <c r="BY61" s="221"/>
      <c r="BZ61" s="221"/>
    </row>
    <row r="62" spans="1:82">
      <c r="A62" s="353"/>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2"/>
      <c r="AO62" s="221"/>
      <c r="AP62" s="221"/>
      <c r="AQ62" s="221"/>
      <c r="AR62" s="221"/>
      <c r="AS62" s="221"/>
      <c r="AT62" s="221"/>
      <c r="AU62" s="222"/>
      <c r="AV62" s="221"/>
      <c r="AW62" s="221"/>
      <c r="AX62" s="221"/>
      <c r="AY62" s="221"/>
      <c r="AZ62" s="221"/>
      <c r="BA62" s="221"/>
      <c r="BB62" s="222"/>
      <c r="BC62" s="221"/>
      <c r="BD62" s="221"/>
      <c r="BE62" s="221"/>
      <c r="BF62" s="221"/>
      <c r="BG62" s="221"/>
      <c r="BH62" s="221"/>
      <c r="BI62" s="221"/>
      <c r="BJ62" s="221"/>
      <c r="BK62" s="221"/>
      <c r="BL62" s="221"/>
      <c r="BM62" s="221"/>
      <c r="BN62" s="221"/>
      <c r="BO62" s="221"/>
      <c r="BP62" s="221"/>
      <c r="BQ62" s="221"/>
      <c r="BR62" s="221"/>
      <c r="BS62" s="221"/>
      <c r="BT62" s="221"/>
      <c r="BU62" s="221"/>
      <c r="BV62" s="221"/>
      <c r="BW62" s="221"/>
      <c r="BX62" s="221"/>
      <c r="BY62" s="221"/>
      <c r="BZ62" s="221"/>
    </row>
    <row r="63" spans="1:82">
      <c r="A63" s="353"/>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2"/>
      <c r="AO63" s="221"/>
      <c r="AP63" s="221"/>
      <c r="AQ63" s="221"/>
      <c r="AR63" s="221"/>
      <c r="AS63" s="221"/>
      <c r="AT63" s="221"/>
      <c r="AU63" s="222"/>
      <c r="AV63" s="221"/>
      <c r="AW63" s="221"/>
      <c r="AX63" s="221"/>
      <c r="AY63" s="221"/>
      <c r="AZ63" s="221"/>
      <c r="BA63" s="221"/>
      <c r="BB63" s="222"/>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1"/>
      <c r="BY63" s="221"/>
      <c r="BZ63" s="221"/>
    </row>
    <row r="64" spans="1:82">
      <c r="A64" s="352"/>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2"/>
      <c r="AO64" s="221"/>
      <c r="AP64" s="221"/>
      <c r="AQ64" s="221"/>
      <c r="AR64" s="221"/>
      <c r="AS64" s="221"/>
      <c r="AT64" s="221"/>
      <c r="AU64" s="222"/>
      <c r="AV64" s="221"/>
      <c r="AW64" s="221"/>
      <c r="AX64" s="221"/>
      <c r="AY64" s="221"/>
      <c r="AZ64" s="221"/>
      <c r="BA64" s="221"/>
      <c r="BB64" s="222"/>
      <c r="BC64" s="221"/>
      <c r="BD64" s="221"/>
      <c r="BE64" s="221"/>
      <c r="BF64" s="221"/>
      <c r="BG64" s="221"/>
      <c r="BH64" s="221"/>
      <c r="BI64" s="221"/>
      <c r="BJ64" s="221"/>
      <c r="BK64" s="221"/>
      <c r="BL64" s="221"/>
      <c r="BM64" s="221"/>
      <c r="BN64" s="221"/>
      <c r="BO64" s="221"/>
      <c r="BP64" s="221"/>
      <c r="BQ64" s="221"/>
      <c r="BR64" s="221"/>
      <c r="BS64" s="221"/>
      <c r="BT64" s="221"/>
      <c r="BU64" s="221"/>
      <c r="BV64" s="221"/>
      <c r="BW64" s="221"/>
      <c r="BX64" s="221"/>
      <c r="BY64" s="221"/>
      <c r="BZ64" s="221"/>
    </row>
    <row r="65" spans="1:78">
      <c r="A65" s="352"/>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2"/>
      <c r="AO65" s="221"/>
      <c r="AP65" s="221"/>
      <c r="AQ65" s="221"/>
      <c r="AR65" s="221"/>
      <c r="AS65" s="221"/>
      <c r="AT65" s="221"/>
      <c r="AU65" s="222"/>
      <c r="AV65" s="221"/>
      <c r="AW65" s="221"/>
      <c r="AX65" s="221"/>
      <c r="AY65" s="221"/>
      <c r="AZ65" s="221"/>
      <c r="BA65" s="221"/>
      <c r="BB65" s="222"/>
      <c r="BC65" s="221"/>
      <c r="BD65" s="221"/>
      <c r="BE65" s="221"/>
      <c r="BF65" s="221"/>
      <c r="BG65" s="221"/>
      <c r="BH65" s="221"/>
      <c r="BI65" s="221"/>
      <c r="BJ65" s="221"/>
      <c r="BK65" s="221"/>
      <c r="BL65" s="221"/>
      <c r="BM65" s="221"/>
      <c r="BN65" s="221"/>
      <c r="BO65" s="221"/>
      <c r="BP65" s="221"/>
      <c r="BQ65" s="221"/>
      <c r="BR65" s="221"/>
      <c r="BS65" s="221"/>
      <c r="BT65" s="221"/>
      <c r="BU65" s="221"/>
      <c r="BV65" s="221"/>
      <c r="BW65" s="221"/>
      <c r="BX65" s="221"/>
      <c r="BY65" s="221"/>
      <c r="BZ65" s="221"/>
    </row>
    <row r="66" spans="1:78">
      <c r="A66" s="352"/>
      <c r="F66" s="221"/>
      <c r="G66" s="221"/>
      <c r="H66" s="221"/>
      <c r="M66" s="221"/>
      <c r="N66" s="221"/>
      <c r="O66" s="221"/>
      <c r="T66" s="221"/>
      <c r="U66" s="221"/>
      <c r="V66" s="221"/>
      <c r="AA66" s="221"/>
      <c r="AB66" s="221"/>
      <c r="AC66" s="221"/>
      <c r="AH66" s="221"/>
      <c r="AI66" s="221"/>
      <c r="AJ66" s="221"/>
      <c r="AO66" s="221"/>
      <c r="AP66" s="221"/>
      <c r="AQ66" s="221"/>
      <c r="AV66" s="221"/>
      <c r="AW66" s="221"/>
      <c r="AX66" s="221"/>
      <c r="BC66" s="221"/>
      <c r="BD66" s="221"/>
      <c r="BE66" s="221"/>
      <c r="BJ66" s="221"/>
      <c r="BK66" s="221"/>
      <c r="BL66" s="221"/>
      <c r="BQ66" s="221"/>
      <c r="BR66" s="221"/>
      <c r="BS66" s="221"/>
      <c r="BX66" s="221"/>
      <c r="BY66" s="221"/>
      <c r="BZ66" s="221"/>
    </row>
    <row r="67" spans="1:78">
      <c r="A67" s="352"/>
      <c r="F67" s="221"/>
      <c r="G67" s="221"/>
      <c r="H67" s="221"/>
      <c r="M67" s="221"/>
      <c r="N67" s="221"/>
      <c r="O67" s="221"/>
      <c r="T67" s="221"/>
      <c r="U67" s="221"/>
      <c r="V67" s="221"/>
      <c r="AA67" s="221"/>
      <c r="AB67" s="221"/>
      <c r="AC67" s="221"/>
      <c r="AH67" s="221"/>
      <c r="AI67" s="221"/>
      <c r="AJ67" s="221"/>
      <c r="AO67" s="221"/>
      <c r="AP67" s="221"/>
      <c r="AQ67" s="221"/>
      <c r="AV67" s="221"/>
      <c r="AW67" s="221"/>
      <c r="AX67" s="221"/>
      <c r="BC67" s="221"/>
      <c r="BD67" s="221"/>
      <c r="BE67" s="221"/>
      <c r="BJ67" s="221"/>
      <c r="BK67" s="221"/>
      <c r="BL67" s="221"/>
      <c r="BQ67" s="221"/>
      <c r="BR67" s="221"/>
      <c r="BS67" s="221"/>
      <c r="BX67" s="221"/>
      <c r="BY67" s="221"/>
      <c r="BZ67" s="221"/>
    </row>
    <row r="68" spans="1:78">
      <c r="A68" s="352"/>
      <c r="F68" s="221"/>
      <c r="G68" s="221"/>
      <c r="H68" s="221"/>
      <c r="M68" s="221"/>
      <c r="N68" s="221"/>
      <c r="O68" s="221"/>
      <c r="T68" s="221"/>
      <c r="U68" s="221"/>
      <c r="V68" s="221"/>
      <c r="AA68" s="221"/>
      <c r="AB68" s="221"/>
      <c r="AC68" s="221"/>
      <c r="AH68" s="221"/>
      <c r="AI68" s="221"/>
      <c r="AJ68" s="221"/>
      <c r="AO68" s="221"/>
      <c r="AP68" s="221"/>
      <c r="AQ68" s="221"/>
      <c r="AV68" s="221"/>
      <c r="AW68" s="221"/>
      <c r="AX68" s="221"/>
      <c r="BC68" s="221"/>
      <c r="BD68" s="221"/>
      <c r="BE68" s="221"/>
      <c r="BJ68" s="221"/>
      <c r="BK68" s="221"/>
      <c r="BL68" s="221"/>
      <c r="BQ68" s="221"/>
      <c r="BR68" s="221"/>
      <c r="BS68" s="221"/>
      <c r="BX68" s="221"/>
      <c r="BY68" s="221"/>
      <c r="BZ68" s="221"/>
    </row>
    <row r="69" spans="1:78">
      <c r="A69" s="352"/>
      <c r="F69" s="221"/>
      <c r="G69" s="221"/>
      <c r="H69" s="221"/>
      <c r="M69" s="221"/>
      <c r="N69" s="221"/>
      <c r="O69" s="221"/>
      <c r="T69" s="221"/>
      <c r="U69" s="221"/>
      <c r="V69" s="221"/>
      <c r="AA69" s="221"/>
      <c r="AB69" s="221"/>
      <c r="AC69" s="221"/>
      <c r="AH69" s="221"/>
      <c r="AI69" s="221"/>
      <c r="AJ69" s="221"/>
      <c r="AO69" s="221"/>
      <c r="AP69" s="221"/>
      <c r="AQ69" s="221"/>
      <c r="AV69" s="221"/>
      <c r="AW69" s="221"/>
      <c r="AX69" s="221"/>
      <c r="BC69" s="221"/>
      <c r="BD69" s="221"/>
      <c r="BE69" s="221"/>
      <c r="BJ69" s="221"/>
      <c r="BK69" s="221"/>
      <c r="BL69" s="221"/>
      <c r="BQ69" s="221"/>
      <c r="BR69" s="221"/>
      <c r="BS69" s="221"/>
      <c r="BX69" s="221"/>
      <c r="BY69" s="221"/>
      <c r="BZ69" s="221"/>
    </row>
    <row r="70" spans="1:78">
      <c r="A70" s="352"/>
      <c r="F70" s="221"/>
      <c r="G70" s="221"/>
      <c r="H70" s="221"/>
      <c r="M70" s="221"/>
      <c r="N70" s="221"/>
      <c r="O70" s="221"/>
      <c r="T70" s="221"/>
      <c r="U70" s="221"/>
      <c r="V70" s="221"/>
      <c r="AA70" s="221"/>
      <c r="AB70" s="221"/>
      <c r="AC70" s="221"/>
      <c r="AH70" s="221"/>
      <c r="AI70" s="221"/>
      <c r="AJ70" s="221"/>
      <c r="AO70" s="221"/>
      <c r="AP70" s="221"/>
      <c r="AQ70" s="221"/>
      <c r="AV70" s="221"/>
      <c r="AW70" s="221"/>
      <c r="AX70" s="221"/>
      <c r="BC70" s="221"/>
      <c r="BD70" s="221"/>
      <c r="BE70" s="221"/>
      <c r="BJ70" s="221"/>
      <c r="BK70" s="221"/>
      <c r="BL70" s="221"/>
      <c r="BQ70" s="221"/>
      <c r="BR70" s="221"/>
      <c r="BS70" s="221"/>
      <c r="BX70" s="221"/>
      <c r="BY70" s="221"/>
      <c r="BZ70" s="221"/>
    </row>
    <row r="71" spans="1:78">
      <c r="A71" s="352"/>
      <c r="F71" s="221"/>
      <c r="G71" s="221"/>
      <c r="H71" s="221"/>
      <c r="M71" s="221"/>
      <c r="N71" s="221"/>
      <c r="O71" s="221"/>
      <c r="T71" s="221"/>
      <c r="U71" s="221"/>
      <c r="V71" s="221"/>
      <c r="AA71" s="221"/>
      <c r="AB71" s="221"/>
      <c r="AC71" s="221"/>
      <c r="AH71" s="221"/>
      <c r="AI71" s="221"/>
      <c r="AJ71" s="221"/>
      <c r="AO71" s="221"/>
      <c r="AP71" s="221"/>
      <c r="AQ71" s="221"/>
      <c r="AV71" s="221"/>
      <c r="AW71" s="221"/>
      <c r="AX71" s="221"/>
      <c r="BC71" s="221"/>
      <c r="BD71" s="221"/>
      <c r="BE71" s="221"/>
      <c r="BJ71" s="221"/>
      <c r="BK71" s="221"/>
      <c r="BL71" s="221"/>
      <c r="BQ71" s="221"/>
      <c r="BR71" s="221"/>
      <c r="BS71" s="221"/>
      <c r="BX71" s="221"/>
      <c r="BY71" s="221"/>
      <c r="BZ71" s="221"/>
    </row>
    <row r="72" spans="1:78">
      <c r="A72" s="352"/>
      <c r="F72" s="221"/>
      <c r="G72" s="221"/>
      <c r="H72" s="221"/>
      <c r="M72" s="221"/>
      <c r="T72" s="221"/>
      <c r="AA72" s="221"/>
      <c r="AH72" s="221"/>
      <c r="AO72" s="221"/>
      <c r="AV72" s="221"/>
      <c r="BC72" s="221"/>
      <c r="BJ72" s="221"/>
      <c r="BQ72" s="221"/>
      <c r="BX72" s="221"/>
    </row>
    <row r="73" spans="1:78">
      <c r="A73" s="352"/>
      <c r="F73" s="221"/>
    </row>
    <row r="74" spans="1:78">
      <c r="A74" s="352"/>
    </row>
    <row r="75" spans="1:78">
      <c r="A75" s="352"/>
    </row>
    <row r="76" spans="1:78">
      <c r="A76" s="352"/>
    </row>
    <row r="77" spans="1:78">
      <c r="A77" s="352"/>
    </row>
    <row r="78" spans="1:78">
      <c r="A78" s="352"/>
    </row>
    <row r="79" spans="1:78">
      <c r="A79" s="352"/>
    </row>
    <row r="80" spans="1:78">
      <c r="A80" s="352"/>
    </row>
    <row r="81" spans="1:1">
      <c r="A81" s="352"/>
    </row>
    <row r="82" spans="1:1">
      <c r="A82" s="352"/>
    </row>
    <row r="83" spans="1:1">
      <c r="A83" s="352"/>
    </row>
    <row r="84" spans="1:1">
      <c r="A84" s="352"/>
    </row>
    <row r="85" spans="1:1">
      <c r="A85" s="352"/>
    </row>
    <row r="86" spans="1:1">
      <c r="A86" s="352"/>
    </row>
    <row r="87" spans="1:1">
      <c r="A87" s="352"/>
    </row>
    <row r="88" spans="1:1">
      <c r="A88" s="352"/>
    </row>
    <row r="89" spans="1:1">
      <c r="A89" s="352"/>
    </row>
    <row r="90" spans="1:1">
      <c r="A90" s="352"/>
    </row>
    <row r="91" spans="1:1">
      <c r="A91" s="352"/>
    </row>
    <row r="92" spans="1:1">
      <c r="A92" s="352"/>
    </row>
    <row r="93" spans="1:1">
      <c r="A93" s="352"/>
    </row>
    <row r="94" spans="1:1">
      <c r="A94" s="352"/>
    </row>
    <row r="95" spans="1:1">
      <c r="A95" s="352"/>
    </row>
  </sheetData>
  <sheetProtection formatCells="0" formatColumns="0" formatRows="0"/>
  <dataConsolidate/>
  <mergeCells count="380">
    <mergeCell ref="BQ15:BS15"/>
    <mergeCell ref="AV33:AX33"/>
    <mergeCell ref="CE35:CG35"/>
    <mergeCell ref="CE29:CG29"/>
    <mergeCell ref="CE30:CG30"/>
    <mergeCell ref="CE31:CG31"/>
    <mergeCell ref="CE32:CG32"/>
    <mergeCell ref="CE33:CG33"/>
    <mergeCell ref="CE34:CG34"/>
    <mergeCell ref="CE23:CG23"/>
    <mergeCell ref="CE24:CG24"/>
    <mergeCell ref="CE25:CG25"/>
    <mergeCell ref="CE26:CG26"/>
    <mergeCell ref="CE27:CG27"/>
    <mergeCell ref="CE28:CG28"/>
    <mergeCell ref="BX32:BZ32"/>
    <mergeCell ref="BX33:BZ33"/>
    <mergeCell ref="BX34:BZ34"/>
    <mergeCell ref="BX28:BZ28"/>
    <mergeCell ref="BX29:BZ29"/>
    <mergeCell ref="BX30:BZ30"/>
    <mergeCell ref="BX31:BZ31"/>
    <mergeCell ref="BQ35:BS35"/>
    <mergeCell ref="BQ32:BS32"/>
    <mergeCell ref="BQ33:BS33"/>
    <mergeCell ref="CE17:CG17"/>
    <mergeCell ref="CE18:CG18"/>
    <mergeCell ref="CE19:CG19"/>
    <mergeCell ref="CE20:CG20"/>
    <mergeCell ref="CE21:CG21"/>
    <mergeCell ref="CE22:CG22"/>
    <mergeCell ref="CE11:CG11"/>
    <mergeCell ref="CE12:CG12"/>
    <mergeCell ref="CE13:CG13"/>
    <mergeCell ref="CE14:CG14"/>
    <mergeCell ref="CE15:CG15"/>
    <mergeCell ref="CE16:CG16"/>
    <mergeCell ref="CE3:CG4"/>
    <mergeCell ref="CE5:CG5"/>
    <mergeCell ref="CE6:CG6"/>
    <mergeCell ref="CE7:CG7"/>
    <mergeCell ref="CE8:CG8"/>
    <mergeCell ref="CE9:CG9"/>
    <mergeCell ref="CE10:CG10"/>
    <mergeCell ref="BX26:BZ26"/>
    <mergeCell ref="BX27:BZ27"/>
    <mergeCell ref="BX20:BZ20"/>
    <mergeCell ref="BX21:BZ21"/>
    <mergeCell ref="BX22:BZ22"/>
    <mergeCell ref="BX23:BZ23"/>
    <mergeCell ref="BX24:BZ24"/>
    <mergeCell ref="BX25:BZ25"/>
    <mergeCell ref="BX14:BZ14"/>
    <mergeCell ref="BX15:BZ15"/>
    <mergeCell ref="BX16:BZ16"/>
    <mergeCell ref="BX17:BZ17"/>
    <mergeCell ref="BX18:BZ18"/>
    <mergeCell ref="BX19:BZ19"/>
    <mergeCell ref="BX5:BZ5"/>
    <mergeCell ref="BX6:BZ6"/>
    <mergeCell ref="BX7:BZ7"/>
    <mergeCell ref="BQ34:BS34"/>
    <mergeCell ref="BQ23:BS23"/>
    <mergeCell ref="BQ24:BS24"/>
    <mergeCell ref="BQ25:BS25"/>
    <mergeCell ref="BQ26:BS26"/>
    <mergeCell ref="BQ21:BS21"/>
    <mergeCell ref="BQ22:BS22"/>
    <mergeCell ref="BX8:BZ8"/>
    <mergeCell ref="BX9:BZ9"/>
    <mergeCell ref="BX10:BZ10"/>
    <mergeCell ref="BX11:BZ11"/>
    <mergeCell ref="BX12:BZ12"/>
    <mergeCell ref="BX13:BZ13"/>
    <mergeCell ref="BQ29:BS29"/>
    <mergeCell ref="BQ30:BS30"/>
    <mergeCell ref="BQ31:BS31"/>
    <mergeCell ref="BQ11:BS11"/>
    <mergeCell ref="BQ12:BS12"/>
    <mergeCell ref="BQ13:BS13"/>
    <mergeCell ref="BQ14:BS14"/>
    <mergeCell ref="BQ16:BS16"/>
    <mergeCell ref="BQ18:BS18"/>
    <mergeCell ref="BQ19:BS19"/>
    <mergeCell ref="BQ20:BS20"/>
    <mergeCell ref="BQ5:BS5"/>
    <mergeCell ref="BQ6:BS6"/>
    <mergeCell ref="BQ7:BS7"/>
    <mergeCell ref="BQ8:BS8"/>
    <mergeCell ref="BQ9:BS9"/>
    <mergeCell ref="BQ10:BS10"/>
    <mergeCell ref="BJ29:BL29"/>
    <mergeCell ref="BJ30:BL30"/>
    <mergeCell ref="BJ31:BL31"/>
    <mergeCell ref="BJ17:BL17"/>
    <mergeCell ref="BJ18:BL18"/>
    <mergeCell ref="BJ19:BL19"/>
    <mergeCell ref="BJ20:BL20"/>
    <mergeCell ref="BJ21:BL21"/>
    <mergeCell ref="BJ22:BL22"/>
    <mergeCell ref="BJ11:BL11"/>
    <mergeCell ref="BJ12:BL12"/>
    <mergeCell ref="BJ13:BL13"/>
    <mergeCell ref="BJ14:BL14"/>
    <mergeCell ref="BJ15:BL15"/>
    <mergeCell ref="BJ16:BL16"/>
    <mergeCell ref="BQ27:BS27"/>
    <mergeCell ref="BQ28:BS28"/>
    <mergeCell ref="BQ17:BS17"/>
    <mergeCell ref="BJ32:BL32"/>
    <mergeCell ref="BJ33:BL33"/>
    <mergeCell ref="BJ34:BL34"/>
    <mergeCell ref="BJ23:BL23"/>
    <mergeCell ref="BJ24:BL24"/>
    <mergeCell ref="BJ25:BL25"/>
    <mergeCell ref="BJ26:BL26"/>
    <mergeCell ref="BJ27:BL27"/>
    <mergeCell ref="BJ28:BL28"/>
    <mergeCell ref="BC32:BE32"/>
    <mergeCell ref="BC33:BE33"/>
    <mergeCell ref="BC34:BE34"/>
    <mergeCell ref="BC35:BE35"/>
    <mergeCell ref="BJ5:BL5"/>
    <mergeCell ref="BJ6:BL6"/>
    <mergeCell ref="BJ7:BL7"/>
    <mergeCell ref="BJ8:BL8"/>
    <mergeCell ref="BJ9:BL9"/>
    <mergeCell ref="BJ10:BL10"/>
    <mergeCell ref="BC26:BE26"/>
    <mergeCell ref="BC27:BE27"/>
    <mergeCell ref="BC28:BE28"/>
    <mergeCell ref="BC29:BE29"/>
    <mergeCell ref="BC30:BE30"/>
    <mergeCell ref="BC31:BE31"/>
    <mergeCell ref="BC20:BE20"/>
    <mergeCell ref="BC21:BE21"/>
    <mergeCell ref="BC22:BE22"/>
    <mergeCell ref="BC23:BE23"/>
    <mergeCell ref="BC24:BE24"/>
    <mergeCell ref="BC25:BE25"/>
    <mergeCell ref="BC14:BE14"/>
    <mergeCell ref="BC15:BE15"/>
    <mergeCell ref="BC16:BE16"/>
    <mergeCell ref="BC17:BE17"/>
    <mergeCell ref="BC18:BE18"/>
    <mergeCell ref="BC19:BE19"/>
    <mergeCell ref="AV32:AX32"/>
    <mergeCell ref="BC5:BE5"/>
    <mergeCell ref="BC6:BE6"/>
    <mergeCell ref="BC7:BE7"/>
    <mergeCell ref="BC8:BE8"/>
    <mergeCell ref="BC9:BE9"/>
    <mergeCell ref="BC10:BE10"/>
    <mergeCell ref="BC11:BE11"/>
    <mergeCell ref="BC12:BE12"/>
    <mergeCell ref="BC13:BE13"/>
    <mergeCell ref="AV26:AX26"/>
    <mergeCell ref="AV27:AX27"/>
    <mergeCell ref="AV28:AX28"/>
    <mergeCell ref="AV29:AX29"/>
    <mergeCell ref="AV30:AX30"/>
    <mergeCell ref="AV31:AX31"/>
    <mergeCell ref="AV20:AX20"/>
    <mergeCell ref="AV21:AX21"/>
    <mergeCell ref="AV22:AX22"/>
    <mergeCell ref="AV23:AX23"/>
    <mergeCell ref="AV24:AX24"/>
    <mergeCell ref="AV25:AX25"/>
    <mergeCell ref="AV14:AX14"/>
    <mergeCell ref="AV15:AX15"/>
    <mergeCell ref="AV16:AX16"/>
    <mergeCell ref="AV17:AX17"/>
    <mergeCell ref="AV18:AX18"/>
    <mergeCell ref="AV19:AX19"/>
    <mergeCell ref="AO35:AQ35"/>
    <mergeCell ref="AO29:AQ29"/>
    <mergeCell ref="AO30:AQ30"/>
    <mergeCell ref="AO31:AQ31"/>
    <mergeCell ref="AO32:AQ32"/>
    <mergeCell ref="AO33:AQ33"/>
    <mergeCell ref="AO34:AQ34"/>
    <mergeCell ref="AO23:AQ23"/>
    <mergeCell ref="AO24:AQ24"/>
    <mergeCell ref="AO25:AQ25"/>
    <mergeCell ref="AO26:AQ26"/>
    <mergeCell ref="AO27:AQ27"/>
    <mergeCell ref="AO28:AQ28"/>
    <mergeCell ref="AO17:AQ17"/>
    <mergeCell ref="AO18:AQ18"/>
    <mergeCell ref="AO19:AQ19"/>
    <mergeCell ref="AH23:AJ23"/>
    <mergeCell ref="AO11:AQ11"/>
    <mergeCell ref="AO12:AQ12"/>
    <mergeCell ref="AO13:AQ13"/>
    <mergeCell ref="AO14:AQ14"/>
    <mergeCell ref="AO15:AQ15"/>
    <mergeCell ref="AO16:AQ16"/>
    <mergeCell ref="AV5:AX5"/>
    <mergeCell ref="AV6:AX6"/>
    <mergeCell ref="AV7:AX7"/>
    <mergeCell ref="AV8:AX8"/>
    <mergeCell ref="AV9:AX9"/>
    <mergeCell ref="AV10:AX10"/>
    <mergeCell ref="AV11:AX11"/>
    <mergeCell ref="AV12:AX12"/>
    <mergeCell ref="AV13:AX13"/>
    <mergeCell ref="AO5:AQ5"/>
    <mergeCell ref="AO6:AQ6"/>
    <mergeCell ref="AO7:AQ7"/>
    <mergeCell ref="AO8:AQ8"/>
    <mergeCell ref="AO9:AQ9"/>
    <mergeCell ref="AO10:AQ10"/>
    <mergeCell ref="AH12:AJ12"/>
    <mergeCell ref="AH13:AJ13"/>
    <mergeCell ref="AH14:AJ14"/>
    <mergeCell ref="AH15:AJ15"/>
    <mergeCell ref="AH16:AJ16"/>
    <mergeCell ref="AH17:AJ17"/>
    <mergeCell ref="AO20:AQ20"/>
    <mergeCell ref="AO21:AQ21"/>
    <mergeCell ref="AO22:AQ22"/>
    <mergeCell ref="AH18:AJ18"/>
    <mergeCell ref="AH19:AJ19"/>
    <mergeCell ref="AH20:AJ20"/>
    <mergeCell ref="AH21:AJ21"/>
    <mergeCell ref="AH22:AJ22"/>
    <mergeCell ref="AH33:AJ33"/>
    <mergeCell ref="AH34:AJ34"/>
    <mergeCell ref="AH35:AJ35"/>
    <mergeCell ref="AH24:AJ24"/>
    <mergeCell ref="AH25:AJ25"/>
    <mergeCell ref="AH26:AJ26"/>
    <mergeCell ref="AH27:AJ27"/>
    <mergeCell ref="AH28:AJ28"/>
    <mergeCell ref="AH29:AJ29"/>
    <mergeCell ref="AH30:AJ30"/>
    <mergeCell ref="AH31:AJ31"/>
    <mergeCell ref="AH32:AJ32"/>
    <mergeCell ref="AH3:AJ4"/>
    <mergeCell ref="AH5:AJ5"/>
    <mergeCell ref="AH6:AJ6"/>
    <mergeCell ref="AH7:AJ7"/>
    <mergeCell ref="AH8:AJ8"/>
    <mergeCell ref="AH9:AJ9"/>
    <mergeCell ref="AH10:AJ10"/>
    <mergeCell ref="AH11:AJ11"/>
    <mergeCell ref="AA27:AC27"/>
    <mergeCell ref="AA21:AC21"/>
    <mergeCell ref="AA22:AC22"/>
    <mergeCell ref="AA23:AC23"/>
    <mergeCell ref="AA24:AC24"/>
    <mergeCell ref="AA25:AC25"/>
    <mergeCell ref="AA26:AC26"/>
    <mergeCell ref="AA15:AC15"/>
    <mergeCell ref="AA16:AC16"/>
    <mergeCell ref="AA20:AC20"/>
    <mergeCell ref="AA9:AC9"/>
    <mergeCell ref="AA10:AC10"/>
    <mergeCell ref="AA11:AC11"/>
    <mergeCell ref="AA12:AC12"/>
    <mergeCell ref="AA13:AC13"/>
    <mergeCell ref="AA14:AC14"/>
    <mergeCell ref="AA33:AC33"/>
    <mergeCell ref="AA34:AC34"/>
    <mergeCell ref="AA28:AC28"/>
    <mergeCell ref="AA29:AC29"/>
    <mergeCell ref="AA30:AC30"/>
    <mergeCell ref="AA31:AC31"/>
    <mergeCell ref="AA32:AC32"/>
    <mergeCell ref="T35:V35"/>
    <mergeCell ref="AA3:AC4"/>
    <mergeCell ref="AA5:AC5"/>
    <mergeCell ref="AA6:AC6"/>
    <mergeCell ref="AA7:AC7"/>
    <mergeCell ref="AA8:AC8"/>
    <mergeCell ref="T26:V26"/>
    <mergeCell ref="T27:V27"/>
    <mergeCell ref="T28:V28"/>
    <mergeCell ref="T29:V29"/>
    <mergeCell ref="T30:V30"/>
    <mergeCell ref="T31:V31"/>
    <mergeCell ref="T20:V20"/>
    <mergeCell ref="T21:V21"/>
    <mergeCell ref="T22:V22"/>
    <mergeCell ref="T23:V23"/>
    <mergeCell ref="T24:V24"/>
    <mergeCell ref="AA17:AC17"/>
    <mergeCell ref="AA18:AC18"/>
    <mergeCell ref="AA19:AC19"/>
    <mergeCell ref="T8:V8"/>
    <mergeCell ref="T9:V9"/>
    <mergeCell ref="T10:V10"/>
    <mergeCell ref="T11:V11"/>
    <mergeCell ref="T12:V12"/>
    <mergeCell ref="T13:V13"/>
    <mergeCell ref="T19:V19"/>
    <mergeCell ref="T14:V14"/>
    <mergeCell ref="T15:V15"/>
    <mergeCell ref="T16:V16"/>
    <mergeCell ref="T32:V32"/>
    <mergeCell ref="T33:V33"/>
    <mergeCell ref="T34:V34"/>
    <mergeCell ref="M29:O29"/>
    <mergeCell ref="M30:O30"/>
    <mergeCell ref="M31:O31"/>
    <mergeCell ref="M17:O17"/>
    <mergeCell ref="M18:O18"/>
    <mergeCell ref="M19:O19"/>
    <mergeCell ref="M20:O20"/>
    <mergeCell ref="M21:O21"/>
    <mergeCell ref="M22:O22"/>
    <mergeCell ref="M23:O23"/>
    <mergeCell ref="M24:O24"/>
    <mergeCell ref="M25:O25"/>
    <mergeCell ref="M26:O26"/>
    <mergeCell ref="M27:O27"/>
    <mergeCell ref="M28:O28"/>
    <mergeCell ref="T25:V25"/>
    <mergeCell ref="M32:O32"/>
    <mergeCell ref="M33:O33"/>
    <mergeCell ref="M34:O34"/>
    <mergeCell ref="T17:V17"/>
    <mergeCell ref="T18:V18"/>
    <mergeCell ref="M3:O4"/>
    <mergeCell ref="F3:H4"/>
    <mergeCell ref="T3:V4"/>
    <mergeCell ref="T5:V5"/>
    <mergeCell ref="T6:V6"/>
    <mergeCell ref="T7:V7"/>
    <mergeCell ref="M11:O11"/>
    <mergeCell ref="M12:O12"/>
    <mergeCell ref="M13:O13"/>
    <mergeCell ref="M5:O5"/>
    <mergeCell ref="M6:O6"/>
    <mergeCell ref="M7:O7"/>
    <mergeCell ref="M8:O8"/>
    <mergeCell ref="M9:O9"/>
    <mergeCell ref="M10:O10"/>
    <mergeCell ref="F5:H5"/>
    <mergeCell ref="F6:H6"/>
    <mergeCell ref="F7:H7"/>
    <mergeCell ref="F8:H8"/>
    <mergeCell ref="F9:H9"/>
    <mergeCell ref="F10:H10"/>
    <mergeCell ref="F11:H11"/>
    <mergeCell ref="F12:H12"/>
    <mergeCell ref="F13:H13"/>
    <mergeCell ref="F17:H17"/>
    <mergeCell ref="F18:H18"/>
    <mergeCell ref="F19:H19"/>
    <mergeCell ref="F24:H24"/>
    <mergeCell ref="F25:H25"/>
    <mergeCell ref="I41:K41"/>
    <mergeCell ref="M14:O14"/>
    <mergeCell ref="M15:O15"/>
    <mergeCell ref="M16:O16"/>
    <mergeCell ref="A6:A18"/>
    <mergeCell ref="A26:A27"/>
    <mergeCell ref="A20:A25"/>
    <mergeCell ref="A42:A45"/>
    <mergeCell ref="I37:K37"/>
    <mergeCell ref="F30:H30"/>
    <mergeCell ref="F31:H31"/>
    <mergeCell ref="F32:H32"/>
    <mergeCell ref="F33:H33"/>
    <mergeCell ref="F34:H34"/>
    <mergeCell ref="F35:H35"/>
    <mergeCell ref="F20:H20"/>
    <mergeCell ref="F21:H21"/>
    <mergeCell ref="F22:H22"/>
    <mergeCell ref="F23:H23"/>
    <mergeCell ref="A28:A29"/>
    <mergeCell ref="F26:H26"/>
    <mergeCell ref="F27:H27"/>
    <mergeCell ref="F28:H28"/>
    <mergeCell ref="F29:H29"/>
    <mergeCell ref="I43:K43"/>
    <mergeCell ref="F14:H14"/>
    <mergeCell ref="F15:H15"/>
    <mergeCell ref="F16:H16"/>
  </mergeCells>
  <phoneticPr fontId="5" type="noConversion"/>
  <conditionalFormatting sqref="B5:F35">
    <cfRule type="expression" dxfId="449" priority="233">
      <formula>OR($D5="pæd.dag")</formula>
    </cfRule>
    <cfRule type="expression" dxfId="448" priority="234">
      <formula>OR($D5="nul-dag")</formula>
    </cfRule>
    <cfRule type="expression" dxfId="447" priority="235">
      <formula>OR($D5="SH-dag")</formula>
    </cfRule>
    <cfRule type="expression" dxfId="446" priority="236">
      <formula>OR($D5="ekskursion")</formula>
    </cfRule>
    <cfRule type="expression" dxfId="445" priority="237">
      <formula>OR($D5="lejrskole")</formula>
    </cfRule>
    <cfRule type="expression" dxfId="444" priority="238">
      <formula>OR($D5="emnedag")</formula>
    </cfRule>
    <cfRule type="expression" dxfId="443" priority="239">
      <formula>OR($D5="fagdag")</formula>
    </cfRule>
    <cfRule type="expression" dxfId="442" priority="240">
      <formula>OR($D5="feriedag")</formula>
    </cfRule>
    <cfRule type="expression" dxfId="441" priority="241">
      <formula>OR($D5="weekend")</formula>
    </cfRule>
    <cfRule type="expression" dxfId="440" priority="242" stopIfTrue="1">
      <formula>OR($D5="skoledag")</formula>
    </cfRule>
  </conditionalFormatting>
  <conditionalFormatting sqref="I5:M34">
    <cfRule type="expression" dxfId="439" priority="153">
      <formula>OR($K5="pæd.dag")</formula>
    </cfRule>
    <cfRule type="expression" dxfId="438" priority="154">
      <formula>OR($K5="nul-dag")</formula>
    </cfRule>
    <cfRule type="expression" dxfId="437" priority="155">
      <formula>OR($K5="SH-dag")</formula>
    </cfRule>
    <cfRule type="expression" dxfId="436" priority="156">
      <formula>OR($K5="ekskursion")</formula>
    </cfRule>
    <cfRule type="expression" dxfId="435" priority="157">
      <formula>OR($K5="lejrskole")</formula>
    </cfRule>
    <cfRule type="expression" dxfId="434" priority="158">
      <formula>OR($K5="emnedag")</formula>
    </cfRule>
    <cfRule type="expression" dxfId="433" priority="159">
      <formula>OR($K5="fagdag")</formula>
    </cfRule>
    <cfRule type="expression" dxfId="432" priority="160">
      <formula>OR($K5="feriedag")</formula>
    </cfRule>
    <cfRule type="expression" dxfId="431" priority="161">
      <formula>OR($K5="weekend")</formula>
    </cfRule>
    <cfRule type="expression" dxfId="430" priority="162" stopIfTrue="1">
      <formula>OR($K5="skoledag")</formula>
    </cfRule>
  </conditionalFormatting>
  <conditionalFormatting sqref="P5:T35">
    <cfRule type="expression" dxfId="429" priority="143">
      <formula>OR($R5="pæd.dag")</formula>
    </cfRule>
    <cfRule type="expression" dxfId="428" priority="144">
      <formula>OR($R5="nul-dag")</formula>
    </cfRule>
    <cfRule type="expression" dxfId="427" priority="145">
      <formula>OR($R5="SH-dag")</formula>
    </cfRule>
    <cfRule type="expression" dxfId="426" priority="146">
      <formula>OR($R5="ekskursion")</formula>
    </cfRule>
    <cfRule type="expression" dxfId="425" priority="147">
      <formula>OR($R5="lejrskole")</formula>
    </cfRule>
    <cfRule type="expression" dxfId="424" priority="148">
      <formula>OR($R5="emnedag")</formula>
    </cfRule>
    <cfRule type="expression" dxfId="423" priority="149">
      <formula>OR($R5="fagdag")</formula>
    </cfRule>
    <cfRule type="expression" dxfId="422" priority="150">
      <formula>OR($R5="feriedag")</formula>
    </cfRule>
    <cfRule type="expression" dxfId="421" priority="151">
      <formula>OR($R5="weekend")</formula>
    </cfRule>
    <cfRule type="expression" dxfId="420" priority="152" stopIfTrue="1">
      <formula>OR($R5="skoledag")</formula>
    </cfRule>
  </conditionalFormatting>
  <conditionalFormatting sqref="W5:AA34">
    <cfRule type="expression" dxfId="419" priority="133">
      <formula>OR($Y5="pæd.dag")</formula>
    </cfRule>
    <cfRule type="expression" dxfId="418" priority="134">
      <formula>OR($Y5="nul-dag")</formula>
    </cfRule>
    <cfRule type="expression" dxfId="417" priority="135">
      <formula>OR($Y5="SH-dag")</formula>
    </cfRule>
    <cfRule type="expression" dxfId="416" priority="136">
      <formula>OR($Y5="ekskursion")</formula>
    </cfRule>
    <cfRule type="expression" dxfId="415" priority="137">
      <formula>OR($Y5="lejrskole")</formula>
    </cfRule>
    <cfRule type="expression" dxfId="414" priority="138">
      <formula>OR($Y5="emnedag")</formula>
    </cfRule>
    <cfRule type="expression" dxfId="413" priority="139">
      <formula>OR($Y5="fagdag")</formula>
    </cfRule>
    <cfRule type="expression" dxfId="412" priority="140">
      <formula>OR($Y5="feriedag")</formula>
    </cfRule>
    <cfRule type="expression" dxfId="411" priority="141">
      <formula>OR($Y5="weekend")</formula>
    </cfRule>
    <cfRule type="expression" dxfId="410" priority="142" stopIfTrue="1">
      <formula>OR($Y5="skoledag")</formula>
    </cfRule>
  </conditionalFormatting>
  <conditionalFormatting sqref="BF5:BJ34">
    <cfRule type="expression" dxfId="409" priority="123">
      <formula>OR($BH5="pæd.dag")</formula>
    </cfRule>
    <cfRule type="expression" dxfId="408" priority="124">
      <formula>OR($BH5="nul-dag")</formula>
    </cfRule>
    <cfRule type="expression" dxfId="407" priority="125">
      <formula>OR($BH5="SH-dag")</formula>
    </cfRule>
    <cfRule type="expression" dxfId="406" priority="126">
      <formula>OR($BH5="ekskursion")</formula>
    </cfRule>
    <cfRule type="expression" dxfId="405" priority="127">
      <formula>OR($BH5="lejrskole")</formula>
    </cfRule>
    <cfRule type="expression" dxfId="404" priority="128">
      <formula>OR($BH5="emnedag")</formula>
    </cfRule>
    <cfRule type="expression" dxfId="403" priority="129">
      <formula>OR($BH5="fagdag")</formula>
    </cfRule>
    <cfRule type="expression" dxfId="402" priority="130">
      <formula>OR($BH5="feriedag")</formula>
    </cfRule>
    <cfRule type="expression" dxfId="401" priority="131">
      <formula>OR($BH5="weekend")</formula>
    </cfRule>
    <cfRule type="expression" dxfId="400" priority="132" stopIfTrue="1">
      <formula>OR($BH5="skoledag")</formula>
    </cfRule>
  </conditionalFormatting>
  <conditionalFormatting sqref="BT5:BX34">
    <cfRule type="expression" dxfId="399" priority="113">
      <formula>OR($BV5="pæd.dag")</formula>
    </cfRule>
    <cfRule type="expression" dxfId="398" priority="114">
      <formula>OR($BV5="nul-dag")</formula>
    </cfRule>
    <cfRule type="expression" dxfId="397" priority="115">
      <formula>OR($BV5="SH-dag")</formula>
    </cfRule>
    <cfRule type="expression" dxfId="396" priority="116">
      <formula>OR($BV5="ekskursion")</formula>
    </cfRule>
    <cfRule type="expression" dxfId="395" priority="117">
      <formula>OR($BV5="lejrskole")</formula>
    </cfRule>
    <cfRule type="expression" dxfId="394" priority="118">
      <formula>OR($BV5="emnedag")</formula>
    </cfRule>
    <cfRule type="expression" dxfId="393" priority="119">
      <formula>OR($BV5="fagdag")</formula>
    </cfRule>
    <cfRule type="expression" dxfId="392" priority="120">
      <formula>OR($BV5="feriedag")</formula>
    </cfRule>
    <cfRule type="expression" dxfId="391" priority="121">
      <formula>OR($BV5="weekend")</formula>
    </cfRule>
    <cfRule type="expression" dxfId="390" priority="122" stopIfTrue="1">
      <formula>OR($BV5="skoledag")</formula>
    </cfRule>
  </conditionalFormatting>
  <conditionalFormatting sqref="AD5:AH35">
    <cfRule type="expression" dxfId="389" priority="103">
      <formula>OR($AF5="pæd.dag")</formula>
    </cfRule>
    <cfRule type="expression" dxfId="388" priority="104">
      <formula>OR($AF5="nul-dag")</formula>
    </cfRule>
    <cfRule type="expression" dxfId="387" priority="105">
      <formula>OR($AF5="SH-dag")</formula>
    </cfRule>
    <cfRule type="expression" dxfId="386" priority="106">
      <formula>OR($AF5="ekskursion")</formula>
    </cfRule>
    <cfRule type="expression" dxfId="385" priority="107">
      <formula>OR($AF5="lejrskole")</formula>
    </cfRule>
    <cfRule type="expression" dxfId="384" priority="108">
      <formula>OR($AF5="emnedag")</formula>
    </cfRule>
    <cfRule type="expression" dxfId="383" priority="109">
      <formula>OR($AF5="fagdag")</formula>
    </cfRule>
    <cfRule type="expression" dxfId="382" priority="110">
      <formula>OR($AF5="feriedag")</formula>
    </cfRule>
    <cfRule type="expression" dxfId="381" priority="111">
      <formula>OR($AF5="weekend")</formula>
    </cfRule>
    <cfRule type="expression" dxfId="380" priority="112" stopIfTrue="1">
      <formula>OR($AF5="skoledag")</formula>
    </cfRule>
  </conditionalFormatting>
  <conditionalFormatting sqref="AK5:AO35">
    <cfRule type="expression" dxfId="379" priority="93">
      <formula>OR($AM5="pæd.dag")</formula>
    </cfRule>
    <cfRule type="expression" dxfId="378" priority="94">
      <formula>OR($AM5="nul-dag")</formula>
    </cfRule>
    <cfRule type="expression" dxfId="377" priority="95">
      <formula>OR($AM5="SH-dag")</formula>
    </cfRule>
    <cfRule type="expression" dxfId="376" priority="96">
      <formula>OR($AM5="ekskursion")</formula>
    </cfRule>
    <cfRule type="expression" dxfId="375" priority="97">
      <formula>OR($AM5="lejrskole")</formula>
    </cfRule>
    <cfRule type="expression" dxfId="374" priority="98">
      <formula>OR($AM5="emnedag")</formula>
    </cfRule>
    <cfRule type="expression" dxfId="373" priority="99">
      <formula>OR($AM5="fagdag")</formula>
    </cfRule>
    <cfRule type="expression" dxfId="372" priority="100">
      <formula>OR($AM5="feriedag")</formula>
    </cfRule>
    <cfRule type="expression" dxfId="371" priority="101">
      <formula>OR($AM5="weekend")</formula>
    </cfRule>
    <cfRule type="expression" dxfId="370" priority="102" stopIfTrue="1">
      <formula>OR($AM5="skoledag")</formula>
    </cfRule>
  </conditionalFormatting>
  <conditionalFormatting sqref="AY5:BC35">
    <cfRule type="expression" dxfId="369" priority="83">
      <formula>OR($BA5="pæd.dag")</formula>
    </cfRule>
    <cfRule type="expression" dxfId="368" priority="84">
      <formula>OR($BA5="nul-dag")</formula>
    </cfRule>
    <cfRule type="expression" dxfId="367" priority="85">
      <formula>OR($BA5="SH-dag")</formula>
    </cfRule>
    <cfRule type="expression" dxfId="366" priority="86">
      <formula>OR($BA5="ekskursion")</formula>
    </cfRule>
    <cfRule type="expression" dxfId="365" priority="87">
      <formula>OR($BA5="lejrskole")</formula>
    </cfRule>
    <cfRule type="expression" dxfId="364" priority="88">
      <formula>OR($BA5="emnedag")</formula>
    </cfRule>
    <cfRule type="expression" dxfId="363" priority="89">
      <formula>OR($BA5="fagdag")</formula>
    </cfRule>
    <cfRule type="expression" dxfId="362" priority="90">
      <formula>OR($BA5="feriedag")</formula>
    </cfRule>
    <cfRule type="expression" dxfId="361" priority="91">
      <formula>OR($BA5="weekend")</formula>
    </cfRule>
    <cfRule type="expression" dxfId="360" priority="92" stopIfTrue="1">
      <formula>OR($BA5="skoledag")</formula>
    </cfRule>
  </conditionalFormatting>
  <conditionalFormatting sqref="BM5:BQ35">
    <cfRule type="expression" dxfId="359" priority="73">
      <formula>OR($BO5="pæd.dag")</formula>
    </cfRule>
    <cfRule type="expression" dxfId="358" priority="74">
      <formula>OR($BO5="nul-dag")</formula>
    </cfRule>
    <cfRule type="expression" dxfId="357" priority="75">
      <formula>OR($BO5="SH-dag")</formula>
    </cfRule>
    <cfRule type="expression" dxfId="356" priority="76">
      <formula>OR($BO5="ekskursion")</formula>
    </cfRule>
    <cfRule type="expression" dxfId="355" priority="77">
      <formula>OR($BO5="lejrskole")</formula>
    </cfRule>
    <cfRule type="expression" dxfId="354" priority="78">
      <formula>OR($BO5="emnedag")</formula>
    </cfRule>
    <cfRule type="expression" dxfId="353" priority="79">
      <formula>OR($BO5="fagdag")</formula>
    </cfRule>
    <cfRule type="expression" dxfId="352" priority="80">
      <formula>OR($BO5="feriedag")</formula>
    </cfRule>
    <cfRule type="expression" dxfId="351" priority="81">
      <formula>OR($BO5="weekend")</formula>
    </cfRule>
    <cfRule type="expression" dxfId="350" priority="82" stopIfTrue="1">
      <formula>OR($BO5="skoledag")</formula>
    </cfRule>
  </conditionalFormatting>
  <conditionalFormatting sqref="AR5:AV33">
    <cfRule type="expression" dxfId="349" priority="63">
      <formula>OR($AT5="pæd.dag")</formula>
    </cfRule>
    <cfRule type="expression" dxfId="348" priority="64">
      <formula>OR($AT5="nul-dag")</formula>
    </cfRule>
    <cfRule type="expression" dxfId="347" priority="65">
      <formula>OR($AT5="SH-dag")</formula>
    </cfRule>
    <cfRule type="expression" dxfId="346" priority="66">
      <formula>OR($AT5="ekskursion")</formula>
    </cfRule>
    <cfRule type="expression" dxfId="345" priority="67">
      <formula>OR($AT5="lejrskole")</formula>
    </cfRule>
    <cfRule type="expression" dxfId="344" priority="68">
      <formula>OR($AT5="emnedag")</formula>
    </cfRule>
    <cfRule type="expression" dxfId="343" priority="69">
      <formula>OR($AT5="fagdag")</formula>
    </cfRule>
    <cfRule type="expression" dxfId="342" priority="70">
      <formula>OR($AT5="feriedag")</formula>
    </cfRule>
    <cfRule type="expression" dxfId="341" priority="71">
      <formula>OR($AT5="weekend")</formula>
    </cfRule>
    <cfRule type="expression" dxfId="340" priority="72" stopIfTrue="1">
      <formula>OR($AT5="skoledag")</formula>
    </cfRule>
  </conditionalFormatting>
  <conditionalFormatting sqref="CA5:CE11 CA34:CE35 CA33:CD33 CA27:CE32 CA26:CD26 CA20:CE25 CA19:CD19 CA13:CE18 CA12:CD12">
    <cfRule type="expression" dxfId="339" priority="53">
      <formula>OR($CC5="pæd.dag")</formula>
    </cfRule>
    <cfRule type="expression" dxfId="338" priority="54">
      <formula>OR($CC5="nul-dag")</formula>
    </cfRule>
    <cfRule type="expression" dxfId="337" priority="55">
      <formula>OR($CC5="SH-dag")</formula>
    </cfRule>
    <cfRule type="expression" dxfId="336" priority="56">
      <formula>OR($CC5="ekskursion")</formula>
    </cfRule>
    <cfRule type="expression" dxfId="335" priority="57">
      <formula>OR($CC5="lejrskole")</formula>
    </cfRule>
    <cfRule type="expression" dxfId="334" priority="58">
      <formula>OR($CC5="emnedag")</formula>
    </cfRule>
    <cfRule type="expression" dxfId="333" priority="59">
      <formula>OR($CC5="fagdag")</formula>
    </cfRule>
    <cfRule type="expression" dxfId="332" priority="60">
      <formula>OR($CC5="feriedag")</formula>
    </cfRule>
    <cfRule type="expression" dxfId="331" priority="61">
      <formula>OR($CC5="weekend")</formula>
    </cfRule>
    <cfRule type="expression" dxfId="330" priority="62" stopIfTrue="1">
      <formula>OR($CC5="skoledag")</formula>
    </cfRule>
  </conditionalFormatting>
  <conditionalFormatting sqref="CE33">
    <cfRule type="expression" dxfId="329" priority="43">
      <formula>OR($CC33="pæd.dag")</formula>
    </cfRule>
    <cfRule type="expression" dxfId="328" priority="44">
      <formula>OR($CC33="nul-dag")</formula>
    </cfRule>
    <cfRule type="expression" dxfId="327" priority="45">
      <formula>OR($CC33="SH-dag")</formula>
    </cfRule>
    <cfRule type="expression" dxfId="326" priority="46">
      <formula>OR($CC33="ekskursion")</formula>
    </cfRule>
    <cfRule type="expression" dxfId="325" priority="47">
      <formula>OR($CC33="lejrskole")</formula>
    </cfRule>
    <cfRule type="expression" dxfId="324" priority="48">
      <formula>OR($CC33="emnedag")</formula>
    </cfRule>
    <cfRule type="expression" dxfId="323" priority="49">
      <formula>OR($CC33="fagdag")</formula>
    </cfRule>
    <cfRule type="expression" dxfId="322" priority="50">
      <formula>OR($CC33="feriedag")</formula>
    </cfRule>
    <cfRule type="expression" dxfId="321" priority="51">
      <formula>OR($CC33="weekend")</formula>
    </cfRule>
    <cfRule type="expression" dxfId="320" priority="52" stopIfTrue="1">
      <formula>OR($CC33="skoledag")</formula>
    </cfRule>
  </conditionalFormatting>
  <conditionalFormatting sqref="CE26">
    <cfRule type="expression" dxfId="319" priority="33">
      <formula>OR($CC26="pæd.dag")</formula>
    </cfRule>
    <cfRule type="expression" dxfId="318" priority="34">
      <formula>OR($CC26="nul-dag")</formula>
    </cfRule>
    <cfRule type="expression" dxfId="317" priority="35">
      <formula>OR($CC26="SH-dag")</formula>
    </cfRule>
    <cfRule type="expression" dxfId="316" priority="36">
      <formula>OR($CC26="ekskursion")</formula>
    </cfRule>
    <cfRule type="expression" dxfId="315" priority="37">
      <formula>OR($CC26="lejrskole")</formula>
    </cfRule>
    <cfRule type="expression" dxfId="314" priority="38">
      <formula>OR($CC26="emnedag")</formula>
    </cfRule>
    <cfRule type="expression" dxfId="313" priority="39">
      <formula>OR($CC26="fagdag")</formula>
    </cfRule>
    <cfRule type="expression" dxfId="312" priority="40">
      <formula>OR($CC26="feriedag")</formula>
    </cfRule>
    <cfRule type="expression" dxfId="311" priority="41">
      <formula>OR($CC26="weekend")</formula>
    </cfRule>
    <cfRule type="expression" dxfId="310" priority="42" stopIfTrue="1">
      <formula>OR($CC26="skoledag")</formula>
    </cfRule>
  </conditionalFormatting>
  <conditionalFormatting sqref="CE19">
    <cfRule type="expression" dxfId="309" priority="23">
      <formula>OR($CC19="pæd.dag")</formula>
    </cfRule>
    <cfRule type="expression" dxfId="308" priority="24">
      <formula>OR($CC19="nul-dag")</formula>
    </cfRule>
    <cfRule type="expression" dxfId="307" priority="25">
      <formula>OR($CC19="SH-dag")</formula>
    </cfRule>
    <cfRule type="expression" dxfId="306" priority="26">
      <formula>OR($CC19="ekskursion")</formula>
    </cfRule>
    <cfRule type="expression" dxfId="305" priority="27">
      <formula>OR($CC19="lejrskole")</formula>
    </cfRule>
    <cfRule type="expression" dxfId="304" priority="28">
      <formula>OR($CC19="emnedag")</formula>
    </cfRule>
    <cfRule type="expression" dxfId="303" priority="29">
      <formula>OR($CC19="fagdag")</formula>
    </cfRule>
    <cfRule type="expression" dxfId="302" priority="30">
      <formula>OR($CC19="feriedag")</formula>
    </cfRule>
    <cfRule type="expression" dxfId="301" priority="31">
      <formula>OR($CC19="weekend")</formula>
    </cfRule>
    <cfRule type="expression" dxfId="300" priority="32" stopIfTrue="1">
      <formula>OR($CC19="skoledag")</formula>
    </cfRule>
  </conditionalFormatting>
  <conditionalFormatting sqref="CE12">
    <cfRule type="expression" dxfId="299" priority="13">
      <formula>OR($CC12="pæd.dag")</formula>
    </cfRule>
    <cfRule type="expression" dxfId="298" priority="14">
      <formula>OR($CC12="nul-dag")</formula>
    </cfRule>
    <cfRule type="expression" dxfId="297" priority="15">
      <formula>OR($CC12="SH-dag")</formula>
    </cfRule>
    <cfRule type="expression" dxfId="296" priority="16">
      <formula>OR($CC12="ekskursion")</formula>
    </cfRule>
    <cfRule type="expression" dxfId="295" priority="17">
      <formula>OR($CC12="lejrskole")</formula>
    </cfRule>
    <cfRule type="expression" dxfId="294" priority="18">
      <formula>OR($CC12="emnedag")</formula>
    </cfRule>
    <cfRule type="expression" dxfId="293" priority="19">
      <formula>OR($CC12="fagdag")</formula>
    </cfRule>
    <cfRule type="expression" dxfId="292" priority="20">
      <formula>OR($CC12="feriedag")</formula>
    </cfRule>
    <cfRule type="expression" dxfId="291" priority="21">
      <formula>OR($CC12="weekend")</formula>
    </cfRule>
    <cfRule type="expression" dxfId="290" priority="22" stopIfTrue="1">
      <formula>OR($CC12="skoledag")</formula>
    </cfRule>
  </conditionalFormatting>
  <conditionalFormatting sqref="B5:H35">
    <cfRule type="expression" dxfId="289" priority="12">
      <formula>OR($D5="Ikke relevant")</formula>
    </cfRule>
  </conditionalFormatting>
  <conditionalFormatting sqref="I5:O34">
    <cfRule type="expression" dxfId="288" priority="11">
      <formula>OR($K5="Ikke relevant")</formula>
    </cfRule>
  </conditionalFormatting>
  <conditionalFormatting sqref="P5:V35">
    <cfRule type="expression" dxfId="287" priority="10">
      <formula>OR($R5="Ikke relevant")</formula>
    </cfRule>
  </conditionalFormatting>
  <conditionalFormatting sqref="W5:AC34">
    <cfRule type="expression" dxfId="286" priority="9">
      <formula>OR($Y5="Ikke relevant")</formula>
    </cfRule>
  </conditionalFormatting>
  <conditionalFormatting sqref="AD5:AJ35">
    <cfRule type="expression" dxfId="285" priority="8">
      <formula>OR($AF5="Ikke relevant")</formula>
    </cfRule>
  </conditionalFormatting>
  <conditionalFormatting sqref="AK5:AQ35">
    <cfRule type="expression" dxfId="284" priority="7">
      <formula>OR($AM5="Ikke relevant")</formula>
    </cfRule>
  </conditionalFormatting>
  <conditionalFormatting sqref="AR5:AX33">
    <cfRule type="expression" dxfId="283" priority="6">
      <formula>OR($AT5="Ikke relevant")</formula>
    </cfRule>
  </conditionalFormatting>
  <conditionalFormatting sqref="AY5:BE35">
    <cfRule type="expression" dxfId="282" priority="5">
      <formula>OR($BA5="Ikke relevant")</formula>
    </cfRule>
  </conditionalFormatting>
  <conditionalFormatting sqref="BF5:BL34">
    <cfRule type="expression" dxfId="281" priority="4">
      <formula>OR($BH5="Ikke relevant")</formula>
    </cfRule>
  </conditionalFormatting>
  <conditionalFormatting sqref="BM5:BS35">
    <cfRule type="expression" dxfId="280" priority="3">
      <formula>OR($BO5="Ikke relevant")</formula>
    </cfRule>
  </conditionalFormatting>
  <conditionalFormatting sqref="BT5:BZ34">
    <cfRule type="expression" dxfId="279" priority="2">
      <formula>OR($BV5="Ikke relevant")</formula>
    </cfRule>
  </conditionalFormatting>
  <conditionalFormatting sqref="CA5:CG35">
    <cfRule type="expression" dxfId="278" priority="1">
      <formula>OR($CC5="Ikke relevant")</formula>
    </cfRule>
  </conditionalFormatting>
  <dataValidations count="1">
    <dataValidation type="list" allowBlank="1" showInputMessage="1" sqref="AT5:AT33 D5:D35 BH5:BH34 BA5:BA35 Y5:Y34 AM5:AM35 AF5:AF35 BV5:BV34 R5:R35 CC5:CC35 K5:K34 BO5:BO35" xr:uid="{00000000-0002-0000-0100-000000000000}">
      <formula1>$A$47:$A$57</formula1>
    </dataValidation>
  </dataValidations>
  <printOptions horizontalCentered="1" verticalCentered="1"/>
  <pageMargins left="0" right="0" top="0" bottom="0" header="0" footer="0"/>
  <pageSetup paperSize="9" orientation="portrait" horizontalDpi="4294967292" verticalDpi="4294967292"/>
  <colBreaks count="12" manualBreakCount="12">
    <brk id="8" max="1048575" man="1"/>
    <brk id="15" max="1048575" man="1"/>
    <brk id="22" max="1048575" man="1"/>
    <brk id="29" max="1048575" man="1"/>
    <brk id="36" max="1048575" man="1"/>
    <brk id="43" max="1048575" man="1"/>
    <brk id="50" max="1048575" man="1"/>
    <brk id="57" max="1048575" man="1"/>
    <brk id="64" max="1048575" man="1"/>
    <brk id="71" max="1048575" man="1"/>
    <brk id="78" max="1048575" man="1"/>
    <brk id="8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41"/>
  <sheetViews>
    <sheetView showZeros="0" view="pageLayout" topLeftCell="K5" workbookViewId="0">
      <selection activeCell="AT35" sqref="AT35"/>
    </sheetView>
  </sheetViews>
  <sheetFormatPr baseColWidth="10" defaultRowHeight="12"/>
  <cols>
    <col min="1" max="1" width="3" style="290" customWidth="1"/>
    <col min="2" max="2" width="3.33203125" style="290" customWidth="1"/>
    <col min="3" max="3" width="12.1640625" style="290" customWidth="1"/>
    <col min="4" max="5" width="3" style="290" customWidth="1"/>
    <col min="6" max="6" width="3.33203125" style="290" customWidth="1"/>
    <col min="7" max="7" width="12.1640625" style="290" customWidth="1"/>
    <col min="8" max="8" width="2.5" style="290" customWidth="1"/>
    <col min="9" max="9" width="3" style="290" customWidth="1"/>
    <col min="10" max="10" width="3.33203125" style="290" customWidth="1"/>
    <col min="11" max="11" width="12.1640625" style="290" customWidth="1"/>
    <col min="12" max="12" width="2.5" style="290" customWidth="1"/>
    <col min="13" max="13" width="3" style="290" customWidth="1"/>
    <col min="14" max="14" width="3.33203125" style="290" customWidth="1"/>
    <col min="15" max="15" width="12.1640625" style="290" customWidth="1"/>
    <col min="16" max="16" width="2.5" style="290" customWidth="1"/>
    <col min="17" max="17" width="3" style="290" customWidth="1"/>
    <col min="18" max="18" width="3.33203125" style="290" customWidth="1"/>
    <col min="19" max="19" width="12.1640625" style="290" customWidth="1"/>
    <col min="20" max="20" width="2.5" style="290" customWidth="1"/>
    <col min="21" max="21" width="3" style="290" customWidth="1"/>
    <col min="22" max="22" width="3.33203125" style="290" customWidth="1"/>
    <col min="23" max="23" width="12.1640625" style="290" customWidth="1"/>
    <col min="24" max="24" width="2.5" style="290" customWidth="1"/>
    <col min="25" max="25" width="3" style="290" customWidth="1"/>
    <col min="26" max="26" width="3.33203125" style="290" customWidth="1"/>
    <col min="27" max="27" width="12.1640625" style="290" customWidth="1"/>
    <col min="28" max="28" width="2.5" style="290" customWidth="1"/>
    <col min="29" max="29" width="3" style="290" customWidth="1"/>
    <col min="30" max="30" width="3.33203125" style="290" customWidth="1"/>
    <col min="31" max="31" width="12.1640625" style="290" customWidth="1"/>
    <col min="32" max="32" width="2.5" style="290" customWidth="1"/>
    <col min="33" max="33" width="3" style="290" customWidth="1"/>
    <col min="34" max="34" width="3.33203125" style="290" customWidth="1"/>
    <col min="35" max="35" width="12.1640625" style="290" customWidth="1"/>
    <col min="36" max="36" width="2.5" style="290" customWidth="1"/>
    <col min="37" max="37" width="3" style="290" customWidth="1"/>
    <col min="38" max="38" width="3.33203125" style="290" customWidth="1"/>
    <col min="39" max="39" width="12.1640625" style="290" customWidth="1"/>
    <col min="40" max="40" width="2.5" style="290" customWidth="1"/>
    <col min="41" max="41" width="3" style="290" customWidth="1"/>
    <col min="42" max="42" width="3.33203125" style="290" customWidth="1"/>
    <col min="43" max="43" width="12.1640625" style="290" customWidth="1"/>
    <col min="44" max="44" width="2.5" style="290" customWidth="1"/>
    <col min="45" max="45" width="3" style="290" customWidth="1"/>
    <col min="46" max="46" width="3.33203125" style="290" customWidth="1"/>
    <col min="47" max="47" width="12.1640625" style="290" customWidth="1"/>
    <col min="48" max="48" width="3.5" style="290" customWidth="1"/>
    <col min="49" max="16384" width="10.83203125" style="290"/>
  </cols>
  <sheetData>
    <row r="1" spans="1:48" ht="30" customHeight="1" thickBot="1">
      <c r="A1" s="307" t="str">
        <f>"ÅRSKALENDER  for  "&amp;UPPER(Maaned!A1)&amp;"  "&amp;Maaned!A3&amp;" - "&amp;TEXT(Maaned!A3-1999,"00")</f>
        <v>ÅRSKALENDER  for  MIN EGEN SKOLE  2019 - 20</v>
      </c>
      <c r="B1" s="304"/>
      <c r="C1" s="303"/>
      <c r="D1" s="306"/>
      <c r="E1" s="305"/>
      <c r="F1" s="304"/>
      <c r="G1" s="303"/>
      <c r="H1" s="306"/>
      <c r="I1" s="305"/>
      <c r="J1" s="304"/>
      <c r="K1" s="303"/>
      <c r="L1" s="306"/>
      <c r="M1" s="305"/>
      <c r="N1" s="304"/>
      <c r="O1" s="303"/>
      <c r="P1" s="306"/>
      <c r="Q1" s="305"/>
      <c r="R1" s="304"/>
      <c r="S1" s="303"/>
      <c r="T1" s="306"/>
      <c r="U1" s="305"/>
      <c r="V1" s="304"/>
      <c r="W1" s="303"/>
      <c r="X1" s="306"/>
      <c r="Y1" s="305"/>
      <c r="Z1" s="304"/>
      <c r="AA1" s="303"/>
      <c r="AB1" s="306"/>
      <c r="AC1" s="305"/>
      <c r="AD1" s="304"/>
      <c r="AE1" s="303"/>
      <c r="AF1" s="306"/>
      <c r="AG1" s="305"/>
      <c r="AH1" s="304"/>
      <c r="AI1" s="303"/>
      <c r="AJ1" s="306"/>
      <c r="AK1" s="305"/>
      <c r="AL1" s="304"/>
      <c r="AM1" s="303"/>
      <c r="AN1" s="306"/>
      <c r="AO1" s="305"/>
      <c r="AP1" s="304"/>
      <c r="AQ1" s="303"/>
      <c r="AR1" s="306"/>
      <c r="AS1" s="305"/>
      <c r="AT1" s="304"/>
      <c r="AU1" s="303"/>
      <c r="AV1" s="302"/>
    </row>
    <row r="2" spans="1:48" ht="24" customHeight="1">
      <c r="A2" s="300" t="str">
        <f>Maaned!B4</f>
        <v>AUGUST</v>
      </c>
      <c r="B2" s="299"/>
      <c r="C2" s="298"/>
      <c r="D2" s="297"/>
      <c r="E2" s="300" t="str">
        <f>Maaned!I4</f>
        <v>SEPTEMBER</v>
      </c>
      <c r="F2" s="299"/>
      <c r="G2" s="298"/>
      <c r="H2" s="297"/>
      <c r="I2" s="301" t="str">
        <f>Maaned!P4</f>
        <v>OKTOBER</v>
      </c>
      <c r="J2" s="299"/>
      <c r="K2" s="298"/>
      <c r="L2" s="297"/>
      <c r="M2" s="300" t="str">
        <f>Maaned!W4</f>
        <v>NOVEMBER</v>
      </c>
      <c r="N2" s="299"/>
      <c r="O2" s="298"/>
      <c r="P2" s="297"/>
      <c r="Q2" s="300" t="str">
        <f>Maaned!AD4</f>
        <v>DECEMBER</v>
      </c>
      <c r="R2" s="299"/>
      <c r="S2" s="298"/>
      <c r="T2" s="297"/>
      <c r="U2" s="300" t="str">
        <f>Maaned!AK4</f>
        <v>JANUAR</v>
      </c>
      <c r="V2" s="299"/>
      <c r="W2" s="298"/>
      <c r="X2" s="297"/>
      <c r="Y2" s="301" t="str">
        <f>Maaned!AR4</f>
        <v>FEBRUAR</v>
      </c>
      <c r="Z2" s="299"/>
      <c r="AA2" s="298"/>
      <c r="AB2" s="297"/>
      <c r="AC2" s="300" t="str">
        <f>Maaned!AY4</f>
        <v>MARTS</v>
      </c>
      <c r="AD2" s="299"/>
      <c r="AE2" s="298"/>
      <c r="AF2" s="297"/>
      <c r="AG2" s="300" t="str">
        <f>Maaned!BF4</f>
        <v>APRIL</v>
      </c>
      <c r="AH2" s="299"/>
      <c r="AI2" s="298"/>
      <c r="AJ2" s="297"/>
      <c r="AK2" s="300" t="str">
        <f>Maaned!BM4</f>
        <v>MAJ</v>
      </c>
      <c r="AL2" s="299"/>
      <c r="AM2" s="298"/>
      <c r="AN2" s="297"/>
      <c r="AO2" s="300" t="str">
        <f>Maaned!BT4</f>
        <v>JUNI</v>
      </c>
      <c r="AP2" s="299"/>
      <c r="AQ2" s="298"/>
      <c r="AR2" s="297"/>
      <c r="AS2" s="300" t="str">
        <f>Maaned!CA4</f>
        <v>JULI</v>
      </c>
      <c r="AT2" s="299"/>
      <c r="AU2" s="298"/>
      <c r="AV2" s="297"/>
    </row>
    <row r="3" spans="1:48" ht="24" customHeight="1">
      <c r="A3" s="144">
        <f>Maaned!B5</f>
        <v>1</v>
      </c>
      <c r="B3" s="145" t="str">
        <f>Maaned!C5</f>
        <v>to</v>
      </c>
      <c r="C3" s="148" t="str">
        <f>Maaned!D5</f>
        <v>feriedag</v>
      </c>
      <c r="D3" s="145" t="str">
        <f>Maaned!E5</f>
        <v/>
      </c>
      <c r="E3" s="144">
        <f>Maaned!I5</f>
        <v>1</v>
      </c>
      <c r="F3" s="145" t="str">
        <f>Maaned!J5</f>
        <v>sø</v>
      </c>
      <c r="G3" s="373" t="str">
        <f>Maaned!K5</f>
        <v>weekend</v>
      </c>
      <c r="H3" s="375" t="str">
        <f>Maaned!L5</f>
        <v/>
      </c>
      <c r="I3" s="144">
        <f>Maaned!P5</f>
        <v>1</v>
      </c>
      <c r="J3" s="145" t="str">
        <f>Maaned!Q5</f>
        <v>ti</v>
      </c>
      <c r="K3" s="373" t="str">
        <f>Maaned!R5</f>
        <v>skoledag</v>
      </c>
      <c r="L3" s="375" t="str">
        <f>Maaned!S5</f>
        <v/>
      </c>
      <c r="M3" s="144">
        <f>Maaned!W5</f>
        <v>1</v>
      </c>
      <c r="N3" s="145" t="str">
        <f>Maaned!X5</f>
        <v>fr</v>
      </c>
      <c r="O3" s="373" t="str">
        <f>Maaned!Y5</f>
        <v>skoledag</v>
      </c>
      <c r="P3" s="375" t="str">
        <f>Maaned!Z5</f>
        <v/>
      </c>
      <c r="Q3" s="144">
        <f>Maaned!AD5</f>
        <v>1</v>
      </c>
      <c r="R3" s="145" t="str">
        <f>Maaned!AE5</f>
        <v>sø</v>
      </c>
      <c r="S3" s="373" t="str">
        <f>Maaned!AF5</f>
        <v>weekend</v>
      </c>
      <c r="T3" s="375" t="str">
        <f>Maaned!AG5</f>
        <v/>
      </c>
      <c r="U3" s="144">
        <f>Maaned!AK5</f>
        <v>1</v>
      </c>
      <c r="V3" s="145" t="str">
        <f>Maaned!AL5</f>
        <v>on</v>
      </c>
      <c r="W3" s="373" t="str">
        <f>Maaned!AM5</f>
        <v>SH-dag</v>
      </c>
      <c r="X3" s="375" t="str">
        <f>Maaned!AN5</f>
        <v/>
      </c>
      <c r="Y3" s="144">
        <f>Maaned!AR5</f>
        <v>1</v>
      </c>
      <c r="Z3" s="145" t="str">
        <f>Maaned!AS5</f>
        <v>lø</v>
      </c>
      <c r="AA3" s="373" t="str">
        <f>Maaned!AT5</f>
        <v>weekend</v>
      </c>
      <c r="AB3" s="375" t="str">
        <f>Maaned!AU5</f>
        <v/>
      </c>
      <c r="AC3" s="144">
        <f>Maaned!AY5</f>
        <v>1</v>
      </c>
      <c r="AD3" s="145" t="str">
        <f>Maaned!AZ5</f>
        <v>sø</v>
      </c>
      <c r="AE3" s="373" t="str">
        <f>Maaned!BA5</f>
        <v>weekend</v>
      </c>
      <c r="AF3" s="375" t="str">
        <f>Maaned!BB5</f>
        <v/>
      </c>
      <c r="AG3" s="144">
        <f>Maaned!BF5</f>
        <v>1</v>
      </c>
      <c r="AH3" s="145" t="str">
        <f>Maaned!BG5</f>
        <v>on</v>
      </c>
      <c r="AI3" s="373" t="str">
        <f>Maaned!BH5</f>
        <v>skoledag</v>
      </c>
      <c r="AJ3" s="375" t="str">
        <f>Maaned!BI5</f>
        <v/>
      </c>
      <c r="AK3" s="144">
        <f>Maaned!BM5</f>
        <v>1</v>
      </c>
      <c r="AL3" s="145" t="str">
        <f>Maaned!BN5</f>
        <v>fr</v>
      </c>
      <c r="AM3" s="373" t="str">
        <f>Maaned!BO5</f>
        <v>skoledag</v>
      </c>
      <c r="AN3" s="375" t="str">
        <f>Maaned!BP5</f>
        <v/>
      </c>
      <c r="AO3" s="144">
        <f>Maaned!BT5</f>
        <v>1</v>
      </c>
      <c r="AP3" s="145" t="str">
        <f>Maaned!BU5</f>
        <v>ma</v>
      </c>
      <c r="AQ3" s="373" t="str">
        <f>Maaned!BV5</f>
        <v>SH-dag</v>
      </c>
      <c r="AR3" s="375">
        <f>Maaned!BW5</f>
        <v>22.714285714285715</v>
      </c>
      <c r="AS3" s="144">
        <f>Maaned!CA5</f>
        <v>1</v>
      </c>
      <c r="AT3" s="145" t="str">
        <f>Maaned!CB5</f>
        <v>on</v>
      </c>
      <c r="AU3" s="373" t="str">
        <f>Maaned!CC5</f>
        <v>Nul-dag</v>
      </c>
      <c r="AV3" s="376" t="str">
        <f>Maaned!CD5</f>
        <v/>
      </c>
    </row>
    <row r="4" spans="1:48" ht="24" customHeight="1">
      <c r="A4" s="144">
        <f>Maaned!B6</f>
        <v>2</v>
      </c>
      <c r="B4" s="145" t="str">
        <f>Maaned!C6</f>
        <v>fr</v>
      </c>
      <c r="C4" s="142" t="str">
        <f>Maaned!D6</f>
        <v>feriedag</v>
      </c>
      <c r="D4" s="145" t="str">
        <f>Maaned!E6</f>
        <v/>
      </c>
      <c r="E4" s="144">
        <f>Maaned!I6</f>
        <v>2</v>
      </c>
      <c r="F4" s="145" t="str">
        <f>Maaned!J6</f>
        <v>ma</v>
      </c>
      <c r="G4" s="374" t="str">
        <f>Maaned!K6</f>
        <v>skoledag</v>
      </c>
      <c r="H4" s="375">
        <f>Maaned!L6</f>
        <v>35.857142857142854</v>
      </c>
      <c r="I4" s="144">
        <f>Maaned!P6</f>
        <v>2</v>
      </c>
      <c r="J4" s="145" t="str">
        <f>Maaned!Q6</f>
        <v>on</v>
      </c>
      <c r="K4" s="374" t="str">
        <f>Maaned!R6</f>
        <v>skoledag</v>
      </c>
      <c r="L4" s="375" t="str">
        <f>Maaned!S6</f>
        <v/>
      </c>
      <c r="M4" s="144">
        <f>Maaned!W6</f>
        <v>2</v>
      </c>
      <c r="N4" s="145" t="str">
        <f>Maaned!X6</f>
        <v>lø</v>
      </c>
      <c r="O4" s="374" t="str">
        <f>Maaned!Y6</f>
        <v>weekend</v>
      </c>
      <c r="P4" s="375" t="str">
        <f>Maaned!Z6</f>
        <v/>
      </c>
      <c r="Q4" s="144">
        <f>Maaned!AD6</f>
        <v>2</v>
      </c>
      <c r="R4" s="145" t="str">
        <f>Maaned!AE6</f>
        <v>ma</v>
      </c>
      <c r="S4" s="374" t="str">
        <f>Maaned!AF6</f>
        <v>skoledag</v>
      </c>
      <c r="T4" s="375">
        <f>Maaned!AG6</f>
        <v>48.857142857142854</v>
      </c>
      <c r="U4" s="144">
        <f>Maaned!AK6</f>
        <v>2</v>
      </c>
      <c r="V4" s="145" t="str">
        <f>Maaned!AL6</f>
        <v>to</v>
      </c>
      <c r="W4" s="374" t="str">
        <f>Maaned!AM6</f>
        <v>Nul-dag</v>
      </c>
      <c r="X4" s="375" t="str">
        <f>Maaned!AN6</f>
        <v/>
      </c>
      <c r="Y4" s="144">
        <f>Maaned!AR6</f>
        <v>2</v>
      </c>
      <c r="Z4" s="145" t="str">
        <f>Maaned!AS6</f>
        <v>sø</v>
      </c>
      <c r="AA4" s="374" t="str">
        <f>Maaned!AT6</f>
        <v>weekend</v>
      </c>
      <c r="AB4" s="375" t="str">
        <f>Maaned!AU6</f>
        <v/>
      </c>
      <c r="AC4" s="144">
        <f>Maaned!AY6</f>
        <v>2</v>
      </c>
      <c r="AD4" s="145" t="str">
        <f>Maaned!AZ6</f>
        <v>ma</v>
      </c>
      <c r="AE4" s="374" t="str">
        <f>Maaned!BA6</f>
        <v>skoledag</v>
      </c>
      <c r="AF4" s="375">
        <f>Maaned!BB6</f>
        <v>9.7142857142857135</v>
      </c>
      <c r="AG4" s="144">
        <f>Maaned!BF6</f>
        <v>2</v>
      </c>
      <c r="AH4" s="145" t="str">
        <f>Maaned!BG6</f>
        <v>to</v>
      </c>
      <c r="AI4" s="374" t="str">
        <f>Maaned!BH6</f>
        <v>skoledag</v>
      </c>
      <c r="AJ4" s="375" t="str">
        <f>Maaned!BI6</f>
        <v/>
      </c>
      <c r="AK4" s="144">
        <f>Maaned!BM6</f>
        <v>2</v>
      </c>
      <c r="AL4" s="145" t="str">
        <f>Maaned!BN6</f>
        <v>lø</v>
      </c>
      <c r="AM4" s="374" t="str">
        <f>Maaned!BO6</f>
        <v>weekend</v>
      </c>
      <c r="AN4" s="375" t="str">
        <f>Maaned!BP6</f>
        <v/>
      </c>
      <c r="AO4" s="144">
        <f>Maaned!BT6</f>
        <v>2</v>
      </c>
      <c r="AP4" s="145" t="str">
        <f>Maaned!BU6</f>
        <v>ti</v>
      </c>
      <c r="AQ4" s="374" t="str">
        <f>Maaned!BV6</f>
        <v>skoledag</v>
      </c>
      <c r="AR4" s="375" t="str">
        <f>Maaned!BW6</f>
        <v/>
      </c>
      <c r="AS4" s="144">
        <f>Maaned!CA6</f>
        <v>2</v>
      </c>
      <c r="AT4" s="145" t="str">
        <f>Maaned!CB6</f>
        <v>to</v>
      </c>
      <c r="AU4" s="374" t="str">
        <f>Maaned!CC6</f>
        <v>Nul-dag</v>
      </c>
      <c r="AV4" s="377" t="str">
        <f>Maaned!CD6</f>
        <v/>
      </c>
    </row>
    <row r="5" spans="1:48" ht="24" customHeight="1">
      <c r="A5" s="144">
        <f>Maaned!B7</f>
        <v>3</v>
      </c>
      <c r="B5" s="145" t="str">
        <f>Maaned!C7</f>
        <v>lø</v>
      </c>
      <c r="C5" s="142" t="str">
        <f>Maaned!D7</f>
        <v>weekend</v>
      </c>
      <c r="D5" s="145" t="str">
        <f>Maaned!E7</f>
        <v/>
      </c>
      <c r="E5" s="144">
        <f>Maaned!I7</f>
        <v>3</v>
      </c>
      <c r="F5" s="145" t="str">
        <f>Maaned!J7</f>
        <v>ti</v>
      </c>
      <c r="G5" s="374" t="str">
        <f>Maaned!K7</f>
        <v>skoledag</v>
      </c>
      <c r="H5" s="375" t="str">
        <f>Maaned!L7</f>
        <v/>
      </c>
      <c r="I5" s="144">
        <f>Maaned!P7</f>
        <v>3</v>
      </c>
      <c r="J5" s="145" t="str">
        <f>Maaned!Q7</f>
        <v>to</v>
      </c>
      <c r="K5" s="374" t="str">
        <f>Maaned!R7</f>
        <v>skoledag</v>
      </c>
      <c r="L5" s="375" t="str">
        <f>Maaned!S7</f>
        <v/>
      </c>
      <c r="M5" s="144">
        <f>Maaned!W7</f>
        <v>3</v>
      </c>
      <c r="N5" s="145" t="str">
        <f>Maaned!X7</f>
        <v>sø</v>
      </c>
      <c r="O5" s="374" t="str">
        <f>Maaned!Y7</f>
        <v>weekend</v>
      </c>
      <c r="P5" s="375" t="str">
        <f>Maaned!Z7</f>
        <v/>
      </c>
      <c r="Q5" s="144">
        <f>Maaned!AD7</f>
        <v>3</v>
      </c>
      <c r="R5" s="145" t="str">
        <f>Maaned!AE7</f>
        <v>ti</v>
      </c>
      <c r="S5" s="374" t="str">
        <f>Maaned!AF7</f>
        <v>skoledag</v>
      </c>
      <c r="T5" s="375" t="str">
        <f>Maaned!AG7</f>
        <v/>
      </c>
      <c r="U5" s="144">
        <f>Maaned!AK7</f>
        <v>3</v>
      </c>
      <c r="V5" s="145" t="str">
        <f>Maaned!AL7</f>
        <v>fr</v>
      </c>
      <c r="W5" s="374" t="str">
        <f>Maaned!AM7</f>
        <v>Nul-dag</v>
      </c>
      <c r="X5" s="375" t="str">
        <f>Maaned!AN7</f>
        <v/>
      </c>
      <c r="Y5" s="144">
        <f>Maaned!AR7</f>
        <v>3</v>
      </c>
      <c r="Z5" s="145" t="str">
        <f>Maaned!AS7</f>
        <v>ma</v>
      </c>
      <c r="AA5" s="374" t="str">
        <f>Maaned!AT7</f>
        <v>skoledag</v>
      </c>
      <c r="AB5" s="375">
        <f>Maaned!AU7</f>
        <v>5.7142857142857144</v>
      </c>
      <c r="AC5" s="144">
        <f>Maaned!AY7</f>
        <v>3</v>
      </c>
      <c r="AD5" s="145" t="str">
        <f>Maaned!AZ7</f>
        <v>ti</v>
      </c>
      <c r="AE5" s="374" t="str">
        <f>Maaned!BA7</f>
        <v>skoledag</v>
      </c>
      <c r="AF5" s="375" t="str">
        <f>Maaned!BB7</f>
        <v/>
      </c>
      <c r="AG5" s="144">
        <f>Maaned!BF7</f>
        <v>3</v>
      </c>
      <c r="AH5" s="145" t="str">
        <f>Maaned!BG7</f>
        <v>fr</v>
      </c>
      <c r="AI5" s="374" t="str">
        <f>Maaned!BH7</f>
        <v>skoledag</v>
      </c>
      <c r="AJ5" s="375" t="str">
        <f>Maaned!BI7</f>
        <v/>
      </c>
      <c r="AK5" s="144">
        <f>Maaned!BM7</f>
        <v>3</v>
      </c>
      <c r="AL5" s="145" t="str">
        <f>Maaned!BN7</f>
        <v>sø</v>
      </c>
      <c r="AM5" s="374" t="str">
        <f>Maaned!BO7</f>
        <v>weekend</v>
      </c>
      <c r="AN5" s="375" t="str">
        <f>Maaned!BP7</f>
        <v/>
      </c>
      <c r="AO5" s="144">
        <f>Maaned!BT7</f>
        <v>3</v>
      </c>
      <c r="AP5" s="145" t="str">
        <f>Maaned!BU7</f>
        <v>on</v>
      </c>
      <c r="AQ5" s="374" t="str">
        <f>Maaned!BV7</f>
        <v>skoledag</v>
      </c>
      <c r="AR5" s="375" t="str">
        <f>Maaned!BW7</f>
        <v/>
      </c>
      <c r="AS5" s="144">
        <f>Maaned!CA7</f>
        <v>3</v>
      </c>
      <c r="AT5" s="145" t="str">
        <f>Maaned!CB7</f>
        <v>fr</v>
      </c>
      <c r="AU5" s="374" t="str">
        <f>Maaned!CC7</f>
        <v>Nul-dag</v>
      </c>
      <c r="AV5" s="377" t="str">
        <f>Maaned!CD7</f>
        <v/>
      </c>
    </row>
    <row r="6" spans="1:48" ht="24" customHeight="1">
      <c r="A6" s="144">
        <f>Maaned!B8</f>
        <v>4</v>
      </c>
      <c r="B6" s="145" t="str">
        <f>Maaned!C8</f>
        <v>sø</v>
      </c>
      <c r="C6" s="142" t="str">
        <f>Maaned!D8</f>
        <v>weekend</v>
      </c>
      <c r="D6" s="145" t="str">
        <f>Maaned!E8</f>
        <v/>
      </c>
      <c r="E6" s="144">
        <f>Maaned!I8</f>
        <v>4</v>
      </c>
      <c r="F6" s="145" t="str">
        <f>Maaned!J8</f>
        <v>on</v>
      </c>
      <c r="G6" s="374" t="str">
        <f>Maaned!K8</f>
        <v>skoledag</v>
      </c>
      <c r="H6" s="375" t="str">
        <f>Maaned!L8</f>
        <v/>
      </c>
      <c r="I6" s="144">
        <f>Maaned!P8</f>
        <v>4</v>
      </c>
      <c r="J6" s="145" t="str">
        <f>Maaned!Q8</f>
        <v>fr</v>
      </c>
      <c r="K6" s="374" t="str">
        <f>Maaned!R8</f>
        <v>skoledag</v>
      </c>
      <c r="L6" s="375" t="str">
        <f>Maaned!S8</f>
        <v/>
      </c>
      <c r="M6" s="144">
        <f>Maaned!W8</f>
        <v>4</v>
      </c>
      <c r="N6" s="145" t="str">
        <f>Maaned!X8</f>
        <v>ma</v>
      </c>
      <c r="O6" s="374" t="str">
        <f>Maaned!Y8</f>
        <v>skoledag</v>
      </c>
      <c r="P6" s="375">
        <f>Maaned!Z8</f>
        <v>44.857142857142854</v>
      </c>
      <c r="Q6" s="144">
        <f>Maaned!AD8</f>
        <v>4</v>
      </c>
      <c r="R6" s="145" t="str">
        <f>Maaned!AE8</f>
        <v>on</v>
      </c>
      <c r="S6" s="374" t="str">
        <f>Maaned!AF8</f>
        <v>skoledag</v>
      </c>
      <c r="T6" s="375" t="str">
        <f>Maaned!AG8</f>
        <v/>
      </c>
      <c r="U6" s="144">
        <f>Maaned!AK8</f>
        <v>4</v>
      </c>
      <c r="V6" s="145" t="str">
        <f>Maaned!AL8</f>
        <v>lø</v>
      </c>
      <c r="W6" s="374" t="str">
        <f>Maaned!AM8</f>
        <v>weekend</v>
      </c>
      <c r="X6" s="375" t="str">
        <f>Maaned!AN8</f>
        <v/>
      </c>
      <c r="Y6" s="144">
        <f>Maaned!AR8</f>
        <v>4</v>
      </c>
      <c r="Z6" s="145" t="str">
        <f>Maaned!AS8</f>
        <v>ti</v>
      </c>
      <c r="AA6" s="374" t="str">
        <f>Maaned!AT8</f>
        <v>skoledag</v>
      </c>
      <c r="AB6" s="375" t="str">
        <f>Maaned!AU8</f>
        <v/>
      </c>
      <c r="AC6" s="144">
        <f>Maaned!AY8</f>
        <v>4</v>
      </c>
      <c r="AD6" s="145" t="str">
        <f>Maaned!AZ8</f>
        <v>on</v>
      </c>
      <c r="AE6" s="374" t="str">
        <f>Maaned!BA8</f>
        <v>skoledag</v>
      </c>
      <c r="AF6" s="375" t="str">
        <f>Maaned!BB8</f>
        <v/>
      </c>
      <c r="AG6" s="144">
        <f>Maaned!BF8</f>
        <v>4</v>
      </c>
      <c r="AH6" s="145" t="str">
        <f>Maaned!BG8</f>
        <v>lø</v>
      </c>
      <c r="AI6" s="374" t="str">
        <f>Maaned!BH8</f>
        <v>weekend</v>
      </c>
      <c r="AJ6" s="375" t="str">
        <f>Maaned!BI8</f>
        <v/>
      </c>
      <c r="AK6" s="144">
        <f>Maaned!BM8</f>
        <v>4</v>
      </c>
      <c r="AL6" s="145" t="str">
        <f>Maaned!BN8</f>
        <v>ma</v>
      </c>
      <c r="AM6" s="374" t="str">
        <f>Maaned!BO8</f>
        <v>skoledag</v>
      </c>
      <c r="AN6" s="375">
        <f>Maaned!BP8</f>
        <v>18.714285714285715</v>
      </c>
      <c r="AO6" s="144">
        <f>Maaned!BT8</f>
        <v>4</v>
      </c>
      <c r="AP6" s="145" t="str">
        <f>Maaned!BU8</f>
        <v>to</v>
      </c>
      <c r="AQ6" s="374" t="str">
        <f>Maaned!BV8</f>
        <v>skoledag</v>
      </c>
      <c r="AR6" s="375" t="str">
        <f>Maaned!BW8</f>
        <v/>
      </c>
      <c r="AS6" s="144">
        <f>Maaned!CA8</f>
        <v>4</v>
      </c>
      <c r="AT6" s="145" t="str">
        <f>Maaned!CB8</f>
        <v>lø</v>
      </c>
      <c r="AU6" s="374" t="str">
        <f>Maaned!CC8</f>
        <v>weekend</v>
      </c>
      <c r="AV6" s="377" t="str">
        <f>Maaned!CD8</f>
        <v/>
      </c>
    </row>
    <row r="7" spans="1:48" ht="24" customHeight="1">
      <c r="A7" s="144">
        <f>Maaned!B9</f>
        <v>5</v>
      </c>
      <c r="B7" s="145" t="str">
        <f>Maaned!C9</f>
        <v>ma</v>
      </c>
      <c r="C7" s="142" t="str">
        <f>Maaned!D9</f>
        <v>feriedag</v>
      </c>
      <c r="D7" s="379">
        <f>Maaned!E9</f>
        <v>31.857142857142858</v>
      </c>
      <c r="E7" s="144">
        <f>Maaned!I9</f>
        <v>5</v>
      </c>
      <c r="F7" s="145" t="str">
        <f>Maaned!J9</f>
        <v>to</v>
      </c>
      <c r="G7" s="374" t="str">
        <f>Maaned!K9</f>
        <v>skoledag</v>
      </c>
      <c r="H7" s="375" t="str">
        <f>Maaned!L9</f>
        <v/>
      </c>
      <c r="I7" s="144">
        <f>Maaned!P9</f>
        <v>5</v>
      </c>
      <c r="J7" s="145" t="str">
        <f>Maaned!Q9</f>
        <v>lø</v>
      </c>
      <c r="K7" s="374" t="str">
        <f>Maaned!R9</f>
        <v>weekend</v>
      </c>
      <c r="L7" s="375" t="str">
        <f>Maaned!S9</f>
        <v/>
      </c>
      <c r="M7" s="144">
        <f>Maaned!W9</f>
        <v>5</v>
      </c>
      <c r="N7" s="145" t="str">
        <f>Maaned!X9</f>
        <v>ti</v>
      </c>
      <c r="O7" s="374" t="str">
        <f>Maaned!Y9</f>
        <v>skoledag</v>
      </c>
      <c r="P7" s="375" t="str">
        <f>Maaned!Z9</f>
        <v/>
      </c>
      <c r="Q7" s="144">
        <f>Maaned!AD9</f>
        <v>5</v>
      </c>
      <c r="R7" s="145" t="str">
        <f>Maaned!AE9</f>
        <v>to</v>
      </c>
      <c r="S7" s="374" t="str">
        <f>Maaned!AF9</f>
        <v>skoledag</v>
      </c>
      <c r="T7" s="375" t="str">
        <f>Maaned!AG9</f>
        <v/>
      </c>
      <c r="U7" s="144">
        <f>Maaned!AK9</f>
        <v>5</v>
      </c>
      <c r="V7" s="145" t="str">
        <f>Maaned!AL9</f>
        <v>sø</v>
      </c>
      <c r="W7" s="374" t="str">
        <f>Maaned!AM9</f>
        <v>weekend</v>
      </c>
      <c r="X7" s="375" t="str">
        <f>Maaned!AN9</f>
        <v/>
      </c>
      <c r="Y7" s="144">
        <f>Maaned!AR9</f>
        <v>5</v>
      </c>
      <c r="Z7" s="145" t="str">
        <f>Maaned!AS9</f>
        <v>on</v>
      </c>
      <c r="AA7" s="374" t="str">
        <f>Maaned!AT9</f>
        <v>skoledag</v>
      </c>
      <c r="AB7" s="375" t="str">
        <f>Maaned!AU9</f>
        <v/>
      </c>
      <c r="AC7" s="144">
        <f>Maaned!AY9</f>
        <v>5</v>
      </c>
      <c r="AD7" s="145" t="str">
        <f>Maaned!AZ9</f>
        <v>to</v>
      </c>
      <c r="AE7" s="374" t="str">
        <f>Maaned!BA9</f>
        <v>skoledag</v>
      </c>
      <c r="AF7" s="375" t="str">
        <f>Maaned!BB9</f>
        <v/>
      </c>
      <c r="AG7" s="144">
        <f>Maaned!BF9</f>
        <v>5</v>
      </c>
      <c r="AH7" s="145" t="str">
        <f>Maaned!BG9</f>
        <v>sø</v>
      </c>
      <c r="AI7" s="374" t="str">
        <f>Maaned!BH9</f>
        <v>weekend</v>
      </c>
      <c r="AJ7" s="375" t="str">
        <f>Maaned!BI9</f>
        <v/>
      </c>
      <c r="AK7" s="144">
        <f>Maaned!BM9</f>
        <v>5</v>
      </c>
      <c r="AL7" s="145" t="str">
        <f>Maaned!BN9</f>
        <v>ti</v>
      </c>
      <c r="AM7" s="374" t="str">
        <f>Maaned!BO9</f>
        <v>skoledag</v>
      </c>
      <c r="AN7" s="375" t="str">
        <f>Maaned!BP9</f>
        <v/>
      </c>
      <c r="AO7" s="144">
        <f>Maaned!BT9</f>
        <v>5</v>
      </c>
      <c r="AP7" s="145" t="str">
        <f>Maaned!BU9</f>
        <v>fr</v>
      </c>
      <c r="AQ7" s="374" t="str">
        <f>Maaned!BV9</f>
        <v>skoledag</v>
      </c>
      <c r="AR7" s="375" t="str">
        <f>Maaned!BW9</f>
        <v/>
      </c>
      <c r="AS7" s="144">
        <f>Maaned!CA9</f>
        <v>5</v>
      </c>
      <c r="AT7" s="145" t="str">
        <f>Maaned!CB9</f>
        <v>sø</v>
      </c>
      <c r="AU7" s="374" t="str">
        <f>Maaned!CC9</f>
        <v>weekend</v>
      </c>
      <c r="AV7" s="377" t="str">
        <f>Maaned!CD9</f>
        <v/>
      </c>
    </row>
    <row r="8" spans="1:48" ht="24" customHeight="1">
      <c r="A8" s="144">
        <f>Maaned!B10</f>
        <v>6</v>
      </c>
      <c r="B8" s="145" t="str">
        <f>Maaned!C10</f>
        <v>ti</v>
      </c>
      <c r="C8" s="142" t="str">
        <f>Maaned!D10</f>
        <v>feriedag</v>
      </c>
      <c r="D8" s="379" t="str">
        <f>Maaned!E10</f>
        <v/>
      </c>
      <c r="E8" s="144">
        <f>Maaned!I10</f>
        <v>6</v>
      </c>
      <c r="F8" s="145" t="str">
        <f>Maaned!J10</f>
        <v>fr</v>
      </c>
      <c r="G8" s="374" t="str">
        <f>Maaned!K10</f>
        <v>skoledag</v>
      </c>
      <c r="H8" s="375" t="str">
        <f>Maaned!L10</f>
        <v/>
      </c>
      <c r="I8" s="144">
        <f>Maaned!P10</f>
        <v>6</v>
      </c>
      <c r="J8" s="145" t="str">
        <f>Maaned!Q10</f>
        <v>sø</v>
      </c>
      <c r="K8" s="374" t="str">
        <f>Maaned!R10</f>
        <v>weekend</v>
      </c>
      <c r="L8" s="375" t="str">
        <f>Maaned!S10</f>
        <v/>
      </c>
      <c r="M8" s="144">
        <f>Maaned!W10</f>
        <v>6</v>
      </c>
      <c r="N8" s="145" t="str">
        <f>Maaned!X10</f>
        <v>on</v>
      </c>
      <c r="O8" s="374" t="str">
        <f>Maaned!Y10</f>
        <v>skoledag</v>
      </c>
      <c r="P8" s="375" t="str">
        <f>Maaned!Z10</f>
        <v/>
      </c>
      <c r="Q8" s="144">
        <f>Maaned!AD10</f>
        <v>6</v>
      </c>
      <c r="R8" s="145" t="str">
        <f>Maaned!AE10</f>
        <v>fr</v>
      </c>
      <c r="S8" s="374" t="str">
        <f>Maaned!AF10</f>
        <v>skoledag</v>
      </c>
      <c r="T8" s="375" t="str">
        <f>Maaned!AG10</f>
        <v/>
      </c>
      <c r="U8" s="144">
        <f>Maaned!AK10</f>
        <v>6</v>
      </c>
      <c r="V8" s="145" t="str">
        <f>Maaned!AL10</f>
        <v>ma</v>
      </c>
      <c r="W8" s="374" t="str">
        <f>Maaned!AM10</f>
        <v>skoledag</v>
      </c>
      <c r="X8" s="375">
        <f>Maaned!AN10</f>
        <v>1.7142857142857142</v>
      </c>
      <c r="Y8" s="144">
        <f>Maaned!AR10</f>
        <v>6</v>
      </c>
      <c r="Z8" s="145" t="str">
        <f>Maaned!AS10</f>
        <v>to</v>
      </c>
      <c r="AA8" s="374" t="str">
        <f>Maaned!AT10</f>
        <v>skoledag</v>
      </c>
      <c r="AB8" s="375" t="str">
        <f>Maaned!AU10</f>
        <v/>
      </c>
      <c r="AC8" s="144">
        <f>Maaned!AY10</f>
        <v>6</v>
      </c>
      <c r="AD8" s="145" t="str">
        <f>Maaned!AZ10</f>
        <v>fr</v>
      </c>
      <c r="AE8" s="374" t="str">
        <f>Maaned!BA10</f>
        <v>skoledag</v>
      </c>
      <c r="AF8" s="375" t="str">
        <f>Maaned!BB10</f>
        <v/>
      </c>
      <c r="AG8" s="144">
        <f>Maaned!BF10</f>
        <v>6</v>
      </c>
      <c r="AH8" s="145" t="str">
        <f>Maaned!BG10</f>
        <v>ma</v>
      </c>
      <c r="AI8" s="374" t="str">
        <f>Maaned!BH10</f>
        <v>nul-dag</v>
      </c>
      <c r="AJ8" s="375">
        <f>Maaned!BI10</f>
        <v>14.714285714285714</v>
      </c>
      <c r="AK8" s="144">
        <f>Maaned!BM10</f>
        <v>6</v>
      </c>
      <c r="AL8" s="145" t="str">
        <f>Maaned!BN10</f>
        <v>on</v>
      </c>
      <c r="AM8" s="374" t="str">
        <f>Maaned!BO10</f>
        <v>skoledag</v>
      </c>
      <c r="AN8" s="375" t="str">
        <f>Maaned!BP10</f>
        <v/>
      </c>
      <c r="AO8" s="144">
        <f>Maaned!BT10</f>
        <v>6</v>
      </c>
      <c r="AP8" s="145" t="str">
        <f>Maaned!BU10</f>
        <v>lø</v>
      </c>
      <c r="AQ8" s="374" t="str">
        <f>Maaned!BV10</f>
        <v>weekend</v>
      </c>
      <c r="AR8" s="375" t="str">
        <f>Maaned!BW10</f>
        <v/>
      </c>
      <c r="AS8" s="144">
        <f>Maaned!CA10</f>
        <v>6</v>
      </c>
      <c r="AT8" s="145" t="str">
        <f>Maaned!CB10</f>
        <v>ma</v>
      </c>
      <c r="AU8" s="374" t="str">
        <f>Maaned!CC10</f>
        <v>Nul-dag</v>
      </c>
      <c r="AV8" s="377">
        <f>Maaned!CD10</f>
        <v>27.714285714285715</v>
      </c>
    </row>
    <row r="9" spans="1:48" ht="24" customHeight="1">
      <c r="A9" s="144">
        <f>Maaned!B11</f>
        <v>7</v>
      </c>
      <c r="B9" s="145" t="str">
        <f>Maaned!C11</f>
        <v>on</v>
      </c>
      <c r="C9" s="142" t="str">
        <f>Maaned!D11</f>
        <v>feriedag</v>
      </c>
      <c r="D9" s="379" t="str">
        <f>Maaned!E11</f>
        <v/>
      </c>
      <c r="E9" s="144">
        <f>Maaned!I11</f>
        <v>7</v>
      </c>
      <c r="F9" s="145" t="str">
        <f>Maaned!J11</f>
        <v>lø</v>
      </c>
      <c r="G9" s="374" t="str">
        <f>Maaned!K11</f>
        <v>weekend</v>
      </c>
      <c r="H9" s="375" t="str">
        <f>Maaned!L11</f>
        <v/>
      </c>
      <c r="I9" s="144">
        <f>Maaned!P11</f>
        <v>7</v>
      </c>
      <c r="J9" s="145" t="str">
        <f>Maaned!Q11</f>
        <v>ma</v>
      </c>
      <c r="K9" s="374" t="str">
        <f>Maaned!R11</f>
        <v>skoledag</v>
      </c>
      <c r="L9" s="375">
        <f>Maaned!S11</f>
        <v>40.857142857142854</v>
      </c>
      <c r="M9" s="144">
        <f>Maaned!W11</f>
        <v>7</v>
      </c>
      <c r="N9" s="145" t="str">
        <f>Maaned!X11</f>
        <v>to</v>
      </c>
      <c r="O9" s="374" t="str">
        <f>Maaned!Y11</f>
        <v>skoledag</v>
      </c>
      <c r="P9" s="375" t="str">
        <f>Maaned!Z11</f>
        <v/>
      </c>
      <c r="Q9" s="144">
        <f>Maaned!AD11</f>
        <v>7</v>
      </c>
      <c r="R9" s="145" t="str">
        <f>Maaned!AE11</f>
        <v>lø</v>
      </c>
      <c r="S9" s="374" t="str">
        <f>Maaned!AF11</f>
        <v>weekend</v>
      </c>
      <c r="T9" s="375" t="str">
        <f>Maaned!AG11</f>
        <v/>
      </c>
      <c r="U9" s="144">
        <f>Maaned!AK11</f>
        <v>7</v>
      </c>
      <c r="V9" s="145" t="str">
        <f>Maaned!AL11</f>
        <v>ti</v>
      </c>
      <c r="W9" s="374" t="str">
        <f>Maaned!AM11</f>
        <v>skoledag</v>
      </c>
      <c r="X9" s="375" t="str">
        <f>Maaned!AN11</f>
        <v/>
      </c>
      <c r="Y9" s="144">
        <f>Maaned!AR11</f>
        <v>7</v>
      </c>
      <c r="Z9" s="145" t="str">
        <f>Maaned!AS11</f>
        <v>fr</v>
      </c>
      <c r="AA9" s="374" t="str">
        <f>Maaned!AT11</f>
        <v>skoledag</v>
      </c>
      <c r="AB9" s="375" t="str">
        <f>Maaned!AU11</f>
        <v/>
      </c>
      <c r="AC9" s="144">
        <f>Maaned!AY11</f>
        <v>7</v>
      </c>
      <c r="AD9" s="145" t="str">
        <f>Maaned!AZ11</f>
        <v>lø</v>
      </c>
      <c r="AE9" s="374" t="str">
        <f>Maaned!BA11</f>
        <v>weekend</v>
      </c>
      <c r="AF9" s="375" t="str">
        <f>Maaned!BB11</f>
        <v/>
      </c>
      <c r="AG9" s="144">
        <f>Maaned!BF11</f>
        <v>7</v>
      </c>
      <c r="AH9" s="145" t="str">
        <f>Maaned!BG11</f>
        <v>ti</v>
      </c>
      <c r="AI9" s="374" t="str">
        <f>Maaned!BH11</f>
        <v>nul-dag</v>
      </c>
      <c r="AJ9" s="375" t="str">
        <f>Maaned!BI11</f>
        <v/>
      </c>
      <c r="AK9" s="144">
        <f>Maaned!BM11</f>
        <v>7</v>
      </c>
      <c r="AL9" s="145" t="str">
        <f>Maaned!BN11</f>
        <v>to</v>
      </c>
      <c r="AM9" s="374" t="str">
        <f>Maaned!BO11</f>
        <v>skoledag</v>
      </c>
      <c r="AN9" s="375" t="str">
        <f>Maaned!BP11</f>
        <v/>
      </c>
      <c r="AO9" s="144">
        <f>Maaned!BT11</f>
        <v>7</v>
      </c>
      <c r="AP9" s="145" t="str">
        <f>Maaned!BU11</f>
        <v>sø</v>
      </c>
      <c r="AQ9" s="374" t="str">
        <f>Maaned!BV11</f>
        <v>weekend</v>
      </c>
      <c r="AR9" s="375" t="str">
        <f>Maaned!BW11</f>
        <v/>
      </c>
      <c r="AS9" s="144">
        <f>Maaned!CA11</f>
        <v>7</v>
      </c>
      <c r="AT9" s="145" t="str">
        <f>Maaned!CB11</f>
        <v>ti</v>
      </c>
      <c r="AU9" s="374" t="str">
        <f>Maaned!CC11</f>
        <v>Nul-dag</v>
      </c>
      <c r="AV9" s="377" t="str">
        <f>Maaned!CD11</f>
        <v/>
      </c>
    </row>
    <row r="10" spans="1:48" ht="24" customHeight="1">
      <c r="A10" s="144">
        <f>Maaned!B12</f>
        <v>8</v>
      </c>
      <c r="B10" s="145" t="str">
        <f>Maaned!C12</f>
        <v>to</v>
      </c>
      <c r="C10" s="142" t="str">
        <f>Maaned!D12</f>
        <v>Nul-dag</v>
      </c>
      <c r="D10" s="145" t="str">
        <f>Maaned!E12</f>
        <v/>
      </c>
      <c r="E10" s="144">
        <f>Maaned!I12</f>
        <v>8</v>
      </c>
      <c r="F10" s="145" t="str">
        <f>Maaned!J12</f>
        <v>sø</v>
      </c>
      <c r="G10" s="374" t="str">
        <f>Maaned!K12</f>
        <v>weekend</v>
      </c>
      <c r="H10" s="375" t="str">
        <f>Maaned!L12</f>
        <v/>
      </c>
      <c r="I10" s="144">
        <f>Maaned!P12</f>
        <v>8</v>
      </c>
      <c r="J10" s="145" t="str">
        <f>Maaned!Q12</f>
        <v>ti</v>
      </c>
      <c r="K10" s="374" t="str">
        <f>Maaned!R12</f>
        <v>skoledag</v>
      </c>
      <c r="L10" s="375" t="str">
        <f>Maaned!S12</f>
        <v/>
      </c>
      <c r="M10" s="144">
        <f>Maaned!W12</f>
        <v>8</v>
      </c>
      <c r="N10" s="145" t="str">
        <f>Maaned!X12</f>
        <v>fr</v>
      </c>
      <c r="O10" s="374" t="str">
        <f>Maaned!Y12</f>
        <v>skoledag</v>
      </c>
      <c r="P10" s="375" t="str">
        <f>Maaned!Z12</f>
        <v/>
      </c>
      <c r="Q10" s="144">
        <f>Maaned!AD12</f>
        <v>8</v>
      </c>
      <c r="R10" s="145" t="str">
        <f>Maaned!AE12</f>
        <v>sø</v>
      </c>
      <c r="S10" s="374" t="str">
        <f>Maaned!AF12</f>
        <v>weekend</v>
      </c>
      <c r="T10" s="375" t="str">
        <f>Maaned!AG12</f>
        <v/>
      </c>
      <c r="U10" s="144">
        <f>Maaned!AK12</f>
        <v>8</v>
      </c>
      <c r="V10" s="145" t="str">
        <f>Maaned!AL12</f>
        <v>on</v>
      </c>
      <c r="W10" s="374" t="str">
        <f>Maaned!AM12</f>
        <v>skoledag</v>
      </c>
      <c r="X10" s="375" t="str">
        <f>Maaned!AN12</f>
        <v/>
      </c>
      <c r="Y10" s="144">
        <f>Maaned!AR12</f>
        <v>8</v>
      </c>
      <c r="Z10" s="145" t="str">
        <f>Maaned!AS12</f>
        <v>lø</v>
      </c>
      <c r="AA10" s="374" t="str">
        <f>Maaned!AT12</f>
        <v>weekend</v>
      </c>
      <c r="AB10" s="375" t="str">
        <f>Maaned!AU12</f>
        <v/>
      </c>
      <c r="AC10" s="144">
        <f>Maaned!AY12</f>
        <v>8</v>
      </c>
      <c r="AD10" s="145" t="str">
        <f>Maaned!AZ12</f>
        <v>sø</v>
      </c>
      <c r="AE10" s="374" t="str">
        <f>Maaned!BA12</f>
        <v>weekend</v>
      </c>
      <c r="AF10" s="375" t="str">
        <f>Maaned!BB12</f>
        <v/>
      </c>
      <c r="AG10" s="144">
        <f>Maaned!BF12</f>
        <v>8</v>
      </c>
      <c r="AH10" s="145" t="str">
        <f>Maaned!BG12</f>
        <v>on</v>
      </c>
      <c r="AI10" s="374" t="str">
        <f>Maaned!BH12</f>
        <v>nul-dag</v>
      </c>
      <c r="AJ10" s="375" t="str">
        <f>Maaned!BI12</f>
        <v/>
      </c>
      <c r="AK10" s="144">
        <f>Maaned!BM12</f>
        <v>8</v>
      </c>
      <c r="AL10" s="145" t="str">
        <f>Maaned!BN12</f>
        <v>fr</v>
      </c>
      <c r="AM10" s="374" t="str">
        <f>Maaned!BO12</f>
        <v>SH-dag</v>
      </c>
      <c r="AN10" s="375" t="str">
        <f>Maaned!BP12</f>
        <v/>
      </c>
      <c r="AO10" s="144">
        <f>Maaned!BT12</f>
        <v>8</v>
      </c>
      <c r="AP10" s="145" t="str">
        <f>Maaned!BU12</f>
        <v>ma</v>
      </c>
      <c r="AQ10" s="374" t="str">
        <f>Maaned!BV12</f>
        <v>skoledag</v>
      </c>
      <c r="AR10" s="375">
        <f>Maaned!BW12</f>
        <v>23.714285714285715</v>
      </c>
      <c r="AS10" s="144">
        <f>Maaned!CA12</f>
        <v>8</v>
      </c>
      <c r="AT10" s="145" t="str">
        <f>Maaned!CB12</f>
        <v>on</v>
      </c>
      <c r="AU10" s="374" t="str">
        <f>Maaned!CC12</f>
        <v>Nul-dag</v>
      </c>
      <c r="AV10" s="377" t="str">
        <f>Maaned!CD12</f>
        <v/>
      </c>
    </row>
    <row r="11" spans="1:48" ht="24" customHeight="1">
      <c r="A11" s="144">
        <f>Maaned!B13</f>
        <v>9</v>
      </c>
      <c r="B11" s="145" t="str">
        <f>Maaned!C13</f>
        <v>fr</v>
      </c>
      <c r="C11" s="142" t="str">
        <f>Maaned!D13</f>
        <v>Nul-dag</v>
      </c>
      <c r="D11" s="145" t="str">
        <f>Maaned!E13</f>
        <v/>
      </c>
      <c r="E11" s="144">
        <f>Maaned!I13</f>
        <v>9</v>
      </c>
      <c r="F11" s="145" t="str">
        <f>Maaned!J13</f>
        <v>ma</v>
      </c>
      <c r="G11" s="374" t="str">
        <f>Maaned!K13</f>
        <v>skoledag</v>
      </c>
      <c r="H11" s="375">
        <f>Maaned!L13</f>
        <v>36.857142857142854</v>
      </c>
      <c r="I11" s="144">
        <f>Maaned!P13</f>
        <v>9</v>
      </c>
      <c r="J11" s="145" t="str">
        <f>Maaned!Q13</f>
        <v>on</v>
      </c>
      <c r="K11" s="374" t="str">
        <f>Maaned!R13</f>
        <v>skoledag</v>
      </c>
      <c r="L11" s="375" t="str">
        <f>Maaned!S13</f>
        <v/>
      </c>
      <c r="M11" s="144">
        <f>Maaned!W13</f>
        <v>9</v>
      </c>
      <c r="N11" s="145" t="str">
        <f>Maaned!X13</f>
        <v>lø</v>
      </c>
      <c r="O11" s="374" t="str">
        <f>Maaned!Y13</f>
        <v>weekend</v>
      </c>
      <c r="P11" s="375" t="str">
        <f>Maaned!Z13</f>
        <v/>
      </c>
      <c r="Q11" s="144">
        <f>Maaned!AD13</f>
        <v>9</v>
      </c>
      <c r="R11" s="145" t="str">
        <f>Maaned!AE13</f>
        <v>ma</v>
      </c>
      <c r="S11" s="374" t="str">
        <f>Maaned!AF13</f>
        <v>skoledag</v>
      </c>
      <c r="T11" s="375">
        <f>Maaned!AG13</f>
        <v>49.857142857142854</v>
      </c>
      <c r="U11" s="144">
        <f>Maaned!AK13</f>
        <v>9</v>
      </c>
      <c r="V11" s="145" t="str">
        <f>Maaned!AL13</f>
        <v>to</v>
      </c>
      <c r="W11" s="374" t="str">
        <f>Maaned!AM13</f>
        <v>skoledag</v>
      </c>
      <c r="X11" s="375" t="str">
        <f>Maaned!AN13</f>
        <v/>
      </c>
      <c r="Y11" s="144">
        <f>Maaned!AR13</f>
        <v>9</v>
      </c>
      <c r="Z11" s="145" t="str">
        <f>Maaned!AS13</f>
        <v>sø</v>
      </c>
      <c r="AA11" s="374" t="str">
        <f>Maaned!AT13</f>
        <v>weekend</v>
      </c>
      <c r="AB11" s="375" t="str">
        <f>Maaned!AU13</f>
        <v/>
      </c>
      <c r="AC11" s="144">
        <f>Maaned!AY13</f>
        <v>9</v>
      </c>
      <c r="AD11" s="145" t="str">
        <f>Maaned!AZ13</f>
        <v>ma</v>
      </c>
      <c r="AE11" s="374" t="str">
        <f>Maaned!BA13</f>
        <v>skoledag</v>
      </c>
      <c r="AF11" s="375">
        <f>Maaned!BB13</f>
        <v>10.714285714285714</v>
      </c>
      <c r="AG11" s="144">
        <f>Maaned!BF13</f>
        <v>9</v>
      </c>
      <c r="AH11" s="145" t="str">
        <f>Maaned!BG13</f>
        <v>to</v>
      </c>
      <c r="AI11" s="374" t="str">
        <f>Maaned!BH13</f>
        <v>SH-dag</v>
      </c>
      <c r="AJ11" s="375" t="str">
        <f>Maaned!BI13</f>
        <v/>
      </c>
      <c r="AK11" s="144">
        <f>Maaned!BM13</f>
        <v>9</v>
      </c>
      <c r="AL11" s="145" t="str">
        <f>Maaned!BN13</f>
        <v>lø</v>
      </c>
      <c r="AM11" s="374" t="str">
        <f>Maaned!BO13</f>
        <v>weekend</v>
      </c>
      <c r="AN11" s="375" t="str">
        <f>Maaned!BP13</f>
        <v/>
      </c>
      <c r="AO11" s="144">
        <f>Maaned!BT13</f>
        <v>9</v>
      </c>
      <c r="AP11" s="145" t="str">
        <f>Maaned!BU13</f>
        <v>ti</v>
      </c>
      <c r="AQ11" s="374" t="str">
        <f>Maaned!BV13</f>
        <v>skoledag</v>
      </c>
      <c r="AR11" s="375" t="str">
        <f>Maaned!BW13</f>
        <v/>
      </c>
      <c r="AS11" s="144">
        <f>Maaned!CA13</f>
        <v>9</v>
      </c>
      <c r="AT11" s="145" t="str">
        <f>Maaned!CB13</f>
        <v>to</v>
      </c>
      <c r="AU11" s="374" t="str">
        <f>Maaned!CC13</f>
        <v>Nul-dag</v>
      </c>
      <c r="AV11" s="377" t="str">
        <f>Maaned!CD13</f>
        <v/>
      </c>
    </row>
    <row r="12" spans="1:48" ht="24" customHeight="1">
      <c r="A12" s="144">
        <f>Maaned!B14</f>
        <v>10</v>
      </c>
      <c r="B12" s="145" t="str">
        <f>Maaned!C14</f>
        <v>lø</v>
      </c>
      <c r="C12" s="142" t="str">
        <f>Maaned!D14</f>
        <v>weekend</v>
      </c>
      <c r="D12" s="145" t="str">
        <f>Maaned!E14</f>
        <v/>
      </c>
      <c r="E12" s="144">
        <f>Maaned!I14</f>
        <v>10</v>
      </c>
      <c r="F12" s="145" t="str">
        <f>Maaned!J14</f>
        <v>ti</v>
      </c>
      <c r="G12" s="374" t="str">
        <f>Maaned!K14</f>
        <v>skoledag</v>
      </c>
      <c r="H12" s="375" t="str">
        <f>Maaned!L14</f>
        <v/>
      </c>
      <c r="I12" s="144">
        <f>Maaned!P14</f>
        <v>10</v>
      </c>
      <c r="J12" s="145" t="str">
        <f>Maaned!Q14</f>
        <v>to</v>
      </c>
      <c r="K12" s="374" t="str">
        <f>Maaned!R14</f>
        <v>skoledag</v>
      </c>
      <c r="L12" s="375" t="str">
        <f>Maaned!S14</f>
        <v/>
      </c>
      <c r="M12" s="144">
        <f>Maaned!W14</f>
        <v>10</v>
      </c>
      <c r="N12" s="145" t="str">
        <f>Maaned!X14</f>
        <v>sø</v>
      </c>
      <c r="O12" s="374" t="str">
        <f>Maaned!Y14</f>
        <v>weekend</v>
      </c>
      <c r="P12" s="375" t="str">
        <f>Maaned!Z14</f>
        <v/>
      </c>
      <c r="Q12" s="144">
        <f>Maaned!AD14</f>
        <v>10</v>
      </c>
      <c r="R12" s="145" t="str">
        <f>Maaned!AE14</f>
        <v>ti</v>
      </c>
      <c r="S12" s="374" t="str">
        <f>Maaned!AF14</f>
        <v>skoledag</v>
      </c>
      <c r="T12" s="375" t="str">
        <f>Maaned!AG14</f>
        <v/>
      </c>
      <c r="U12" s="144">
        <f>Maaned!AK14</f>
        <v>10</v>
      </c>
      <c r="V12" s="145" t="str">
        <f>Maaned!AL14</f>
        <v>fr</v>
      </c>
      <c r="W12" s="374" t="str">
        <f>Maaned!AM14</f>
        <v>skoledag</v>
      </c>
      <c r="X12" s="375" t="str">
        <f>Maaned!AN14</f>
        <v/>
      </c>
      <c r="Y12" s="144">
        <f>Maaned!AR14</f>
        <v>10</v>
      </c>
      <c r="Z12" s="145" t="str">
        <f>Maaned!AS14</f>
        <v>ma</v>
      </c>
      <c r="AA12" s="374" t="str">
        <f>Maaned!AT14</f>
        <v>Nul-dag</v>
      </c>
      <c r="AB12" s="375">
        <f>Maaned!AU14</f>
        <v>6.7142857142857144</v>
      </c>
      <c r="AC12" s="144">
        <f>Maaned!AY14</f>
        <v>10</v>
      </c>
      <c r="AD12" s="145" t="str">
        <f>Maaned!AZ14</f>
        <v>ti</v>
      </c>
      <c r="AE12" s="374" t="str">
        <f>Maaned!BA14</f>
        <v>skoledag</v>
      </c>
      <c r="AF12" s="375" t="str">
        <f>Maaned!BB14</f>
        <v/>
      </c>
      <c r="AG12" s="144">
        <f>Maaned!BF14</f>
        <v>10</v>
      </c>
      <c r="AH12" s="145" t="str">
        <f>Maaned!BG14</f>
        <v>fr</v>
      </c>
      <c r="AI12" s="374" t="str">
        <f>Maaned!BH14</f>
        <v>SH-dag</v>
      </c>
      <c r="AJ12" s="375" t="str">
        <f>Maaned!BI14</f>
        <v/>
      </c>
      <c r="AK12" s="144">
        <f>Maaned!BM14</f>
        <v>10</v>
      </c>
      <c r="AL12" s="145" t="str">
        <f>Maaned!BN14</f>
        <v>sø</v>
      </c>
      <c r="AM12" s="374" t="str">
        <f>Maaned!BO14</f>
        <v>weekend</v>
      </c>
      <c r="AN12" s="375" t="str">
        <f>Maaned!BP14</f>
        <v/>
      </c>
      <c r="AO12" s="144">
        <f>Maaned!BT14</f>
        <v>10</v>
      </c>
      <c r="AP12" s="145" t="str">
        <f>Maaned!BU14</f>
        <v>on</v>
      </c>
      <c r="AQ12" s="374" t="str">
        <f>Maaned!BV14</f>
        <v>skoledag</v>
      </c>
      <c r="AR12" s="375" t="str">
        <f>Maaned!BW14</f>
        <v/>
      </c>
      <c r="AS12" s="144">
        <f>Maaned!CA14</f>
        <v>10</v>
      </c>
      <c r="AT12" s="145" t="str">
        <f>Maaned!CB14</f>
        <v>fr</v>
      </c>
      <c r="AU12" s="374" t="str">
        <f>Maaned!CC14</f>
        <v>feriedag</v>
      </c>
      <c r="AV12" s="377" t="str">
        <f>Maaned!CD14</f>
        <v/>
      </c>
    </row>
    <row r="13" spans="1:48" ht="24" customHeight="1">
      <c r="A13" s="144">
        <f>Maaned!B15</f>
        <v>11</v>
      </c>
      <c r="B13" s="145" t="str">
        <f>Maaned!C15</f>
        <v>sø</v>
      </c>
      <c r="C13" s="142" t="str">
        <f>Maaned!D15</f>
        <v>weekend</v>
      </c>
      <c r="D13" s="145" t="str">
        <f>Maaned!E15</f>
        <v/>
      </c>
      <c r="E13" s="144">
        <f>Maaned!I15</f>
        <v>11</v>
      </c>
      <c r="F13" s="145" t="str">
        <f>Maaned!J15</f>
        <v>on</v>
      </c>
      <c r="G13" s="374" t="str">
        <f>Maaned!K15</f>
        <v>skoledag</v>
      </c>
      <c r="H13" s="375" t="str">
        <f>Maaned!L15</f>
        <v/>
      </c>
      <c r="I13" s="144">
        <f>Maaned!P15</f>
        <v>11</v>
      </c>
      <c r="J13" s="145" t="str">
        <f>Maaned!Q15</f>
        <v>fr</v>
      </c>
      <c r="K13" s="374" t="str">
        <f>Maaned!R15</f>
        <v>skoledag</v>
      </c>
      <c r="L13" s="375" t="str">
        <f>Maaned!S15</f>
        <v/>
      </c>
      <c r="M13" s="144">
        <f>Maaned!W15</f>
        <v>11</v>
      </c>
      <c r="N13" s="145" t="str">
        <f>Maaned!X15</f>
        <v>ma</v>
      </c>
      <c r="O13" s="374" t="str">
        <f>Maaned!Y15</f>
        <v>skoledag</v>
      </c>
      <c r="P13" s="375">
        <f>Maaned!Z15</f>
        <v>45.857142857142854</v>
      </c>
      <c r="Q13" s="144">
        <f>Maaned!AD15</f>
        <v>11</v>
      </c>
      <c r="R13" s="145" t="str">
        <f>Maaned!AE15</f>
        <v>on</v>
      </c>
      <c r="S13" s="374" t="str">
        <f>Maaned!AF15</f>
        <v>skoledag</v>
      </c>
      <c r="T13" s="375" t="str">
        <f>Maaned!AG15</f>
        <v/>
      </c>
      <c r="U13" s="144">
        <f>Maaned!AK15</f>
        <v>11</v>
      </c>
      <c r="V13" s="145" t="str">
        <f>Maaned!AL15</f>
        <v>lø</v>
      </c>
      <c r="W13" s="374" t="str">
        <f>Maaned!AM15</f>
        <v>weekend</v>
      </c>
      <c r="X13" s="375" t="str">
        <f>Maaned!AN15</f>
        <v/>
      </c>
      <c r="Y13" s="144">
        <f>Maaned!AR15</f>
        <v>11</v>
      </c>
      <c r="Z13" s="145" t="str">
        <f>Maaned!AS15</f>
        <v>ti</v>
      </c>
      <c r="AA13" s="374" t="str">
        <f>Maaned!AT15</f>
        <v>Nul-dag</v>
      </c>
      <c r="AB13" s="375" t="str">
        <f>Maaned!AU15</f>
        <v/>
      </c>
      <c r="AC13" s="144">
        <f>Maaned!AY15</f>
        <v>11</v>
      </c>
      <c r="AD13" s="145" t="str">
        <f>Maaned!AZ15</f>
        <v>on</v>
      </c>
      <c r="AE13" s="374" t="str">
        <f>Maaned!BA15</f>
        <v>skoledag</v>
      </c>
      <c r="AF13" s="375" t="str">
        <f>Maaned!BB15</f>
        <v/>
      </c>
      <c r="AG13" s="144">
        <f>Maaned!BF15</f>
        <v>11</v>
      </c>
      <c r="AH13" s="145" t="str">
        <f>Maaned!BG15</f>
        <v>lø</v>
      </c>
      <c r="AI13" s="374" t="str">
        <f>Maaned!BH15</f>
        <v>weekend</v>
      </c>
      <c r="AJ13" s="375" t="str">
        <f>Maaned!BI15</f>
        <v/>
      </c>
      <c r="AK13" s="144">
        <f>Maaned!BM15</f>
        <v>11</v>
      </c>
      <c r="AL13" s="145" t="str">
        <f>Maaned!BN15</f>
        <v>ma</v>
      </c>
      <c r="AM13" s="374" t="str">
        <f>Maaned!BO15</f>
        <v>skoledag</v>
      </c>
      <c r="AN13" s="375">
        <f>Maaned!BP15</f>
        <v>19.714285714285715</v>
      </c>
      <c r="AO13" s="144">
        <f>Maaned!BT15</f>
        <v>11</v>
      </c>
      <c r="AP13" s="145" t="str">
        <f>Maaned!BU15</f>
        <v>to</v>
      </c>
      <c r="AQ13" s="374" t="str">
        <f>Maaned!BV15</f>
        <v>skoledag</v>
      </c>
      <c r="AR13" s="375" t="str">
        <f>Maaned!BW15</f>
        <v/>
      </c>
      <c r="AS13" s="144">
        <f>Maaned!CA15</f>
        <v>11</v>
      </c>
      <c r="AT13" s="145" t="str">
        <f>Maaned!CB15</f>
        <v>lø</v>
      </c>
      <c r="AU13" s="374" t="str">
        <f>Maaned!CC15</f>
        <v>weekend</v>
      </c>
      <c r="AV13" s="377" t="str">
        <f>Maaned!CD15</f>
        <v/>
      </c>
    </row>
    <row r="14" spans="1:48" ht="24" customHeight="1">
      <c r="A14" s="144">
        <f>Maaned!B16</f>
        <v>12</v>
      </c>
      <c r="B14" s="145" t="str">
        <f>Maaned!C16</f>
        <v>ma</v>
      </c>
      <c r="C14" s="142" t="str">
        <f>Maaned!D16</f>
        <v>skoledag</v>
      </c>
      <c r="D14" s="379">
        <f>Maaned!E16</f>
        <v>32.857142857142854</v>
      </c>
      <c r="E14" s="144">
        <f>Maaned!I16</f>
        <v>12</v>
      </c>
      <c r="F14" s="145" t="str">
        <f>Maaned!J16</f>
        <v>to</v>
      </c>
      <c r="G14" s="374" t="str">
        <f>Maaned!K16</f>
        <v>skoledag</v>
      </c>
      <c r="H14" s="375" t="str">
        <f>Maaned!L16</f>
        <v/>
      </c>
      <c r="I14" s="144">
        <f>Maaned!P16</f>
        <v>12</v>
      </c>
      <c r="J14" s="145" t="str">
        <f>Maaned!Q16</f>
        <v>lø</v>
      </c>
      <c r="K14" s="374" t="str">
        <f>Maaned!R16</f>
        <v>weekend</v>
      </c>
      <c r="L14" s="375" t="str">
        <f>Maaned!S16</f>
        <v/>
      </c>
      <c r="M14" s="144">
        <f>Maaned!W16</f>
        <v>12</v>
      </c>
      <c r="N14" s="145" t="str">
        <f>Maaned!X16</f>
        <v>ti</v>
      </c>
      <c r="O14" s="374" t="str">
        <f>Maaned!Y16</f>
        <v>skoledag</v>
      </c>
      <c r="P14" s="375" t="str">
        <f>Maaned!Z16</f>
        <v/>
      </c>
      <c r="Q14" s="144">
        <f>Maaned!AD16</f>
        <v>12</v>
      </c>
      <c r="R14" s="145" t="str">
        <f>Maaned!AE16</f>
        <v>to</v>
      </c>
      <c r="S14" s="374" t="str">
        <f>Maaned!AF16</f>
        <v>skoledag</v>
      </c>
      <c r="T14" s="375" t="str">
        <f>Maaned!AG16</f>
        <v/>
      </c>
      <c r="U14" s="144">
        <f>Maaned!AK16</f>
        <v>12</v>
      </c>
      <c r="V14" s="145" t="str">
        <f>Maaned!AL16</f>
        <v>sø</v>
      </c>
      <c r="W14" s="374" t="str">
        <f>Maaned!AM16</f>
        <v>weekend</v>
      </c>
      <c r="X14" s="375" t="str">
        <f>Maaned!AN16</f>
        <v/>
      </c>
      <c r="Y14" s="144">
        <f>Maaned!AR16</f>
        <v>12</v>
      </c>
      <c r="Z14" s="145" t="str">
        <f>Maaned!AS16</f>
        <v>on</v>
      </c>
      <c r="AA14" s="374" t="str">
        <f>Maaned!AT16</f>
        <v>Nul-dag</v>
      </c>
      <c r="AB14" s="375" t="str">
        <f>Maaned!AU16</f>
        <v/>
      </c>
      <c r="AC14" s="144">
        <f>Maaned!AY16</f>
        <v>12</v>
      </c>
      <c r="AD14" s="145" t="str">
        <f>Maaned!AZ16</f>
        <v>to</v>
      </c>
      <c r="AE14" s="374" t="str">
        <f>Maaned!BA16</f>
        <v>skoledag</v>
      </c>
      <c r="AF14" s="375" t="str">
        <f>Maaned!BB16</f>
        <v/>
      </c>
      <c r="AG14" s="144">
        <f>Maaned!BF16</f>
        <v>12</v>
      </c>
      <c r="AH14" s="145" t="str">
        <f>Maaned!BG16</f>
        <v>sø</v>
      </c>
      <c r="AI14" s="374" t="str">
        <f>Maaned!BH16</f>
        <v>weekend</v>
      </c>
      <c r="AJ14" s="375" t="str">
        <f>Maaned!BI16</f>
        <v/>
      </c>
      <c r="AK14" s="144">
        <f>Maaned!BM16</f>
        <v>12</v>
      </c>
      <c r="AL14" s="145" t="str">
        <f>Maaned!BN16</f>
        <v>ti</v>
      </c>
      <c r="AM14" s="374" t="str">
        <f>Maaned!BO16</f>
        <v>skoledag</v>
      </c>
      <c r="AN14" s="375" t="str">
        <f>Maaned!BP16</f>
        <v/>
      </c>
      <c r="AO14" s="144">
        <f>Maaned!BT16</f>
        <v>12</v>
      </c>
      <c r="AP14" s="145" t="str">
        <f>Maaned!BU16</f>
        <v>fr</v>
      </c>
      <c r="AQ14" s="374" t="str">
        <f>Maaned!BV16</f>
        <v>skoledag</v>
      </c>
      <c r="AR14" s="375" t="str">
        <f>Maaned!BW16</f>
        <v/>
      </c>
      <c r="AS14" s="144">
        <f>Maaned!CA16</f>
        <v>12</v>
      </c>
      <c r="AT14" s="145" t="str">
        <f>Maaned!CB16</f>
        <v>sø</v>
      </c>
      <c r="AU14" s="374" t="str">
        <f>Maaned!CC16</f>
        <v>weekend</v>
      </c>
      <c r="AV14" s="377" t="str">
        <f>Maaned!CD16</f>
        <v/>
      </c>
    </row>
    <row r="15" spans="1:48" ht="24" customHeight="1">
      <c r="A15" s="144">
        <f>Maaned!B17</f>
        <v>13</v>
      </c>
      <c r="B15" s="145" t="str">
        <f>Maaned!C17</f>
        <v>ti</v>
      </c>
      <c r="C15" s="142" t="str">
        <f>Maaned!D17</f>
        <v>skoledag</v>
      </c>
      <c r="D15" s="379" t="str">
        <f>Maaned!E17</f>
        <v/>
      </c>
      <c r="E15" s="144">
        <f>Maaned!I17</f>
        <v>13</v>
      </c>
      <c r="F15" s="145" t="str">
        <f>Maaned!J17</f>
        <v>fr</v>
      </c>
      <c r="G15" s="374" t="str">
        <f>Maaned!K17</f>
        <v>skoledag</v>
      </c>
      <c r="H15" s="375" t="str">
        <f>Maaned!L17</f>
        <v/>
      </c>
      <c r="I15" s="144">
        <f>Maaned!P17</f>
        <v>13</v>
      </c>
      <c r="J15" s="145" t="str">
        <f>Maaned!Q17</f>
        <v>sø</v>
      </c>
      <c r="K15" s="374" t="str">
        <f>Maaned!R17</f>
        <v>weekend</v>
      </c>
      <c r="L15" s="375" t="str">
        <f>Maaned!S17</f>
        <v/>
      </c>
      <c r="M15" s="144">
        <f>Maaned!W17</f>
        <v>13</v>
      </c>
      <c r="N15" s="145" t="str">
        <f>Maaned!X17</f>
        <v>on</v>
      </c>
      <c r="O15" s="374" t="str">
        <f>Maaned!Y17</f>
        <v>skoledag</v>
      </c>
      <c r="P15" s="375" t="str">
        <f>Maaned!Z17</f>
        <v/>
      </c>
      <c r="Q15" s="144">
        <f>Maaned!AD17</f>
        <v>13</v>
      </c>
      <c r="R15" s="145" t="str">
        <f>Maaned!AE17</f>
        <v>fr</v>
      </c>
      <c r="S15" s="374" t="str">
        <f>Maaned!AF17</f>
        <v>skoledag</v>
      </c>
      <c r="T15" s="375" t="str">
        <f>Maaned!AG17</f>
        <v/>
      </c>
      <c r="U15" s="144">
        <f>Maaned!AK17</f>
        <v>13</v>
      </c>
      <c r="V15" s="145" t="str">
        <f>Maaned!AL17</f>
        <v>ma</v>
      </c>
      <c r="W15" s="374" t="str">
        <f>Maaned!AM17</f>
        <v>skoledag</v>
      </c>
      <c r="X15" s="375">
        <f>Maaned!AN17</f>
        <v>2.7142857142857144</v>
      </c>
      <c r="Y15" s="144">
        <f>Maaned!AR17</f>
        <v>13</v>
      </c>
      <c r="Z15" s="145" t="str">
        <f>Maaned!AS17</f>
        <v>to</v>
      </c>
      <c r="AA15" s="374" t="str">
        <f>Maaned!AT17</f>
        <v>Nul-dag</v>
      </c>
      <c r="AB15" s="375" t="str">
        <f>Maaned!AU17</f>
        <v/>
      </c>
      <c r="AC15" s="144">
        <f>Maaned!AY17</f>
        <v>13</v>
      </c>
      <c r="AD15" s="145" t="str">
        <f>Maaned!AZ17</f>
        <v>fr</v>
      </c>
      <c r="AE15" s="374" t="str">
        <f>Maaned!BA17</f>
        <v>skoledag</v>
      </c>
      <c r="AF15" s="375" t="str">
        <f>Maaned!BB17</f>
        <v/>
      </c>
      <c r="AG15" s="144">
        <f>Maaned!BF17</f>
        <v>13</v>
      </c>
      <c r="AH15" s="145" t="str">
        <f>Maaned!BG17</f>
        <v>ma</v>
      </c>
      <c r="AI15" s="374" t="str">
        <f>Maaned!BH17</f>
        <v>SH-dag</v>
      </c>
      <c r="AJ15" s="375">
        <f>Maaned!BI17</f>
        <v>15.714285714285714</v>
      </c>
      <c r="AK15" s="144">
        <f>Maaned!BM17</f>
        <v>13</v>
      </c>
      <c r="AL15" s="145" t="str">
        <f>Maaned!BN17</f>
        <v>on</v>
      </c>
      <c r="AM15" s="374" t="str">
        <f>Maaned!BO17</f>
        <v>skoledag</v>
      </c>
      <c r="AN15" s="375" t="str">
        <f>Maaned!BP17</f>
        <v/>
      </c>
      <c r="AO15" s="144">
        <f>Maaned!BT17</f>
        <v>13</v>
      </c>
      <c r="AP15" s="145" t="str">
        <f>Maaned!BU17</f>
        <v>lø</v>
      </c>
      <c r="AQ15" s="374" t="str">
        <f>Maaned!BV17</f>
        <v>Weekend</v>
      </c>
      <c r="AR15" s="375" t="str">
        <f>Maaned!BW17</f>
        <v/>
      </c>
      <c r="AS15" s="144">
        <f>Maaned!CA17</f>
        <v>13</v>
      </c>
      <c r="AT15" s="145" t="str">
        <f>Maaned!CB17</f>
        <v>ma</v>
      </c>
      <c r="AU15" s="374" t="str">
        <f>Maaned!CC17</f>
        <v>feriedag</v>
      </c>
      <c r="AV15" s="377">
        <f>Maaned!CD17</f>
        <v>28.714285714285715</v>
      </c>
    </row>
    <row r="16" spans="1:48" ht="24" customHeight="1">
      <c r="A16" s="144">
        <f>Maaned!B18</f>
        <v>14</v>
      </c>
      <c r="B16" s="145" t="str">
        <f>Maaned!C18</f>
        <v>on</v>
      </c>
      <c r="C16" s="142" t="str">
        <f>Maaned!D18</f>
        <v>skoledag</v>
      </c>
      <c r="D16" s="379" t="str">
        <f>Maaned!E18</f>
        <v/>
      </c>
      <c r="E16" s="144">
        <f>Maaned!I18</f>
        <v>14</v>
      </c>
      <c r="F16" s="145" t="str">
        <f>Maaned!J18</f>
        <v>lø</v>
      </c>
      <c r="G16" s="374" t="str">
        <f>Maaned!K18</f>
        <v>weekend</v>
      </c>
      <c r="H16" s="375" t="str">
        <f>Maaned!L18</f>
        <v/>
      </c>
      <c r="I16" s="144">
        <f>Maaned!P18</f>
        <v>14</v>
      </c>
      <c r="J16" s="145" t="str">
        <f>Maaned!Q18</f>
        <v>ma</v>
      </c>
      <c r="K16" s="374" t="str">
        <f>Maaned!R18</f>
        <v>nul-dag</v>
      </c>
      <c r="L16" s="375">
        <f>Maaned!S18</f>
        <v>41.857142857142854</v>
      </c>
      <c r="M16" s="144">
        <f>Maaned!W18</f>
        <v>14</v>
      </c>
      <c r="N16" s="145" t="str">
        <f>Maaned!X18</f>
        <v>to</v>
      </c>
      <c r="O16" s="374" t="str">
        <f>Maaned!Y18</f>
        <v>skoledag</v>
      </c>
      <c r="P16" s="375" t="str">
        <f>Maaned!Z18</f>
        <v/>
      </c>
      <c r="Q16" s="144">
        <f>Maaned!AD18</f>
        <v>14</v>
      </c>
      <c r="R16" s="145" t="str">
        <f>Maaned!AE18</f>
        <v>lø</v>
      </c>
      <c r="S16" s="374" t="str">
        <f>Maaned!AF18</f>
        <v>weekend</v>
      </c>
      <c r="T16" s="375" t="str">
        <f>Maaned!AG18</f>
        <v/>
      </c>
      <c r="U16" s="144">
        <f>Maaned!AK18</f>
        <v>14</v>
      </c>
      <c r="V16" s="145" t="str">
        <f>Maaned!AL18</f>
        <v>ti</v>
      </c>
      <c r="W16" s="374" t="str">
        <f>Maaned!AM18</f>
        <v>skoledag</v>
      </c>
      <c r="X16" s="375" t="str">
        <f>Maaned!AN18</f>
        <v/>
      </c>
      <c r="Y16" s="144">
        <f>Maaned!AR18</f>
        <v>14</v>
      </c>
      <c r="Z16" s="145" t="str">
        <f>Maaned!AS18</f>
        <v>fr</v>
      </c>
      <c r="AA16" s="374" t="str">
        <f>Maaned!AT18</f>
        <v>Nul-dag</v>
      </c>
      <c r="AB16" s="375" t="str">
        <f>Maaned!AU18</f>
        <v/>
      </c>
      <c r="AC16" s="144">
        <f>Maaned!AY18</f>
        <v>14</v>
      </c>
      <c r="AD16" s="145" t="str">
        <f>Maaned!AZ18</f>
        <v>lø</v>
      </c>
      <c r="AE16" s="374" t="str">
        <f>Maaned!BA18</f>
        <v>weekend</v>
      </c>
      <c r="AF16" s="375" t="str">
        <f>Maaned!BB18</f>
        <v/>
      </c>
      <c r="AG16" s="144">
        <f>Maaned!BF18</f>
        <v>14</v>
      </c>
      <c r="AH16" s="145" t="str">
        <f>Maaned!BG18</f>
        <v>ti</v>
      </c>
      <c r="AI16" s="374" t="str">
        <f>Maaned!BH18</f>
        <v>skoledag</v>
      </c>
      <c r="AJ16" s="375" t="str">
        <f>Maaned!BI18</f>
        <v/>
      </c>
      <c r="AK16" s="144">
        <f>Maaned!BM18</f>
        <v>14</v>
      </c>
      <c r="AL16" s="145" t="str">
        <f>Maaned!BN18</f>
        <v>to</v>
      </c>
      <c r="AM16" s="374" t="str">
        <f>Maaned!BO18</f>
        <v>skoledag</v>
      </c>
      <c r="AN16" s="375" t="str">
        <f>Maaned!BP18</f>
        <v/>
      </c>
      <c r="AO16" s="144">
        <f>Maaned!BT18</f>
        <v>14</v>
      </c>
      <c r="AP16" s="145" t="str">
        <f>Maaned!BU18</f>
        <v>sø</v>
      </c>
      <c r="AQ16" s="374" t="str">
        <f>Maaned!BV18</f>
        <v>Weekend</v>
      </c>
      <c r="AR16" s="375" t="str">
        <f>Maaned!BW18</f>
        <v/>
      </c>
      <c r="AS16" s="144">
        <f>Maaned!CA18</f>
        <v>14</v>
      </c>
      <c r="AT16" s="145" t="str">
        <f>Maaned!CB18</f>
        <v>ti</v>
      </c>
      <c r="AU16" s="374" t="str">
        <f>Maaned!CC18</f>
        <v>feriedag</v>
      </c>
      <c r="AV16" s="377" t="str">
        <f>Maaned!CD18</f>
        <v/>
      </c>
    </row>
    <row r="17" spans="1:48" ht="24" customHeight="1">
      <c r="A17" s="144">
        <f>Maaned!B19</f>
        <v>15</v>
      </c>
      <c r="B17" s="145" t="str">
        <f>Maaned!C19</f>
        <v>to</v>
      </c>
      <c r="C17" s="142" t="str">
        <f>Maaned!D19</f>
        <v>skoledag</v>
      </c>
      <c r="D17" s="145" t="str">
        <f>Maaned!E19</f>
        <v/>
      </c>
      <c r="E17" s="144">
        <f>Maaned!I19</f>
        <v>15</v>
      </c>
      <c r="F17" s="145" t="str">
        <f>Maaned!J19</f>
        <v>sø</v>
      </c>
      <c r="G17" s="374" t="str">
        <f>Maaned!K19</f>
        <v>weekend</v>
      </c>
      <c r="H17" s="375" t="str">
        <f>Maaned!L19</f>
        <v/>
      </c>
      <c r="I17" s="144">
        <f>Maaned!P19</f>
        <v>15</v>
      </c>
      <c r="J17" s="145" t="str">
        <f>Maaned!Q19</f>
        <v>ti</v>
      </c>
      <c r="K17" s="374" t="str">
        <f>Maaned!R19</f>
        <v>Nul-dag</v>
      </c>
      <c r="L17" s="375" t="str">
        <f>Maaned!S19</f>
        <v/>
      </c>
      <c r="M17" s="144">
        <f>Maaned!W19</f>
        <v>15</v>
      </c>
      <c r="N17" s="145" t="str">
        <f>Maaned!X19</f>
        <v>fr</v>
      </c>
      <c r="O17" s="374" t="str">
        <f>Maaned!Y19</f>
        <v>skoledag</v>
      </c>
      <c r="P17" s="375" t="str">
        <f>Maaned!Z19</f>
        <v/>
      </c>
      <c r="Q17" s="144">
        <f>Maaned!AD19</f>
        <v>15</v>
      </c>
      <c r="R17" s="145" t="str">
        <f>Maaned!AE19</f>
        <v>sø</v>
      </c>
      <c r="S17" s="374" t="str">
        <f>Maaned!AF19</f>
        <v>weekend</v>
      </c>
      <c r="T17" s="375" t="str">
        <f>Maaned!AG19</f>
        <v/>
      </c>
      <c r="U17" s="144">
        <f>Maaned!AK19</f>
        <v>15</v>
      </c>
      <c r="V17" s="145" t="str">
        <f>Maaned!AL19</f>
        <v>on</v>
      </c>
      <c r="W17" s="374" t="str">
        <f>Maaned!AM19</f>
        <v>skoledag</v>
      </c>
      <c r="X17" s="375" t="str">
        <f>Maaned!AN19</f>
        <v/>
      </c>
      <c r="Y17" s="144">
        <f>Maaned!AR19</f>
        <v>15</v>
      </c>
      <c r="Z17" s="145" t="str">
        <f>Maaned!AS19</f>
        <v>lø</v>
      </c>
      <c r="AA17" s="374" t="str">
        <f>Maaned!AT19</f>
        <v>weekend</v>
      </c>
      <c r="AB17" s="375" t="str">
        <f>Maaned!AU19</f>
        <v/>
      </c>
      <c r="AC17" s="144">
        <f>Maaned!AY19</f>
        <v>15</v>
      </c>
      <c r="AD17" s="145" t="str">
        <f>Maaned!AZ19</f>
        <v>sø</v>
      </c>
      <c r="AE17" s="374" t="str">
        <f>Maaned!BA19</f>
        <v>weekend</v>
      </c>
      <c r="AF17" s="375" t="str">
        <f>Maaned!BB19</f>
        <v/>
      </c>
      <c r="AG17" s="144">
        <f>Maaned!BF19</f>
        <v>15</v>
      </c>
      <c r="AH17" s="145" t="str">
        <f>Maaned!BG19</f>
        <v>on</v>
      </c>
      <c r="AI17" s="374" t="str">
        <f>Maaned!BH19</f>
        <v>skoledag</v>
      </c>
      <c r="AJ17" s="375" t="str">
        <f>Maaned!BI19</f>
        <v/>
      </c>
      <c r="AK17" s="144">
        <f>Maaned!BM19</f>
        <v>15</v>
      </c>
      <c r="AL17" s="145" t="str">
        <f>Maaned!BN19</f>
        <v>fr</v>
      </c>
      <c r="AM17" s="374" t="str">
        <f>Maaned!BO19</f>
        <v>skoledag</v>
      </c>
      <c r="AN17" s="375" t="str">
        <f>Maaned!BP19</f>
        <v/>
      </c>
      <c r="AO17" s="144">
        <f>Maaned!BT19</f>
        <v>15</v>
      </c>
      <c r="AP17" s="145" t="str">
        <f>Maaned!BU19</f>
        <v>ma</v>
      </c>
      <c r="AQ17" s="374" t="str">
        <f>Maaned!BV19</f>
        <v>skoledag</v>
      </c>
      <c r="AR17" s="375">
        <f>Maaned!BW19</f>
        <v>24.714285714285715</v>
      </c>
      <c r="AS17" s="144">
        <f>Maaned!CA19</f>
        <v>15</v>
      </c>
      <c r="AT17" s="145" t="str">
        <f>Maaned!CB19</f>
        <v>on</v>
      </c>
      <c r="AU17" s="374" t="str">
        <f>Maaned!CC19</f>
        <v>feriedag</v>
      </c>
      <c r="AV17" s="377" t="str">
        <f>Maaned!CD19</f>
        <v/>
      </c>
    </row>
    <row r="18" spans="1:48" ht="24" customHeight="1">
      <c r="A18" s="144">
        <f>Maaned!B20</f>
        <v>16</v>
      </c>
      <c r="B18" s="145" t="str">
        <f>Maaned!C20</f>
        <v>fr</v>
      </c>
      <c r="C18" s="142" t="str">
        <f>Maaned!D20</f>
        <v>skoledag</v>
      </c>
      <c r="D18" s="145" t="str">
        <f>Maaned!E20</f>
        <v/>
      </c>
      <c r="E18" s="144">
        <f>Maaned!I20</f>
        <v>16</v>
      </c>
      <c r="F18" s="145" t="str">
        <f>Maaned!J20</f>
        <v>ma</v>
      </c>
      <c r="G18" s="374" t="str">
        <f>Maaned!K20</f>
        <v>skoledag</v>
      </c>
      <c r="H18" s="375">
        <f>Maaned!L20</f>
        <v>37.857142857142854</v>
      </c>
      <c r="I18" s="144">
        <f>Maaned!P20</f>
        <v>16</v>
      </c>
      <c r="J18" s="145" t="str">
        <f>Maaned!Q20</f>
        <v>on</v>
      </c>
      <c r="K18" s="374" t="str">
        <f>Maaned!R20</f>
        <v>Nul-dag</v>
      </c>
      <c r="L18" s="375" t="str">
        <f>Maaned!S20</f>
        <v/>
      </c>
      <c r="M18" s="144">
        <f>Maaned!W20</f>
        <v>16</v>
      </c>
      <c r="N18" s="145" t="str">
        <f>Maaned!X20</f>
        <v>lø</v>
      </c>
      <c r="O18" s="374" t="str">
        <f>Maaned!Y20</f>
        <v>weekend</v>
      </c>
      <c r="P18" s="375" t="str">
        <f>Maaned!Z20</f>
        <v/>
      </c>
      <c r="Q18" s="144">
        <f>Maaned!AD20</f>
        <v>16</v>
      </c>
      <c r="R18" s="145" t="str">
        <f>Maaned!AE20</f>
        <v>ma</v>
      </c>
      <c r="S18" s="374" t="str">
        <f>Maaned!AF20</f>
        <v>skoledag</v>
      </c>
      <c r="T18" s="375">
        <f>Maaned!AG20</f>
        <v>50.857142857142854</v>
      </c>
      <c r="U18" s="144">
        <f>Maaned!AK20</f>
        <v>16</v>
      </c>
      <c r="V18" s="145" t="str">
        <f>Maaned!AL20</f>
        <v>to</v>
      </c>
      <c r="W18" s="374" t="str">
        <f>Maaned!AM20</f>
        <v>skoledag</v>
      </c>
      <c r="X18" s="375" t="str">
        <f>Maaned!AN20</f>
        <v/>
      </c>
      <c r="Y18" s="144">
        <f>Maaned!AR20</f>
        <v>16</v>
      </c>
      <c r="Z18" s="145" t="str">
        <f>Maaned!AS20</f>
        <v>sø</v>
      </c>
      <c r="AA18" s="374" t="str">
        <f>Maaned!AT20</f>
        <v>weekend</v>
      </c>
      <c r="AB18" s="375" t="str">
        <f>Maaned!AU20</f>
        <v/>
      </c>
      <c r="AC18" s="144">
        <f>Maaned!AY20</f>
        <v>16</v>
      </c>
      <c r="AD18" s="145" t="str">
        <f>Maaned!AZ20</f>
        <v>ma</v>
      </c>
      <c r="AE18" s="374" t="str">
        <f>Maaned!BA20</f>
        <v>skoledag</v>
      </c>
      <c r="AF18" s="375">
        <f>Maaned!BB20</f>
        <v>11.714285714285714</v>
      </c>
      <c r="AG18" s="144">
        <f>Maaned!BF20</f>
        <v>16</v>
      </c>
      <c r="AH18" s="145" t="str">
        <f>Maaned!BG20</f>
        <v>to</v>
      </c>
      <c r="AI18" s="374" t="str">
        <f>Maaned!BH20</f>
        <v>skoledag</v>
      </c>
      <c r="AJ18" s="375" t="str">
        <f>Maaned!BI20</f>
        <v/>
      </c>
      <c r="AK18" s="144">
        <f>Maaned!BM20</f>
        <v>16</v>
      </c>
      <c r="AL18" s="145" t="str">
        <f>Maaned!BN20</f>
        <v>lø</v>
      </c>
      <c r="AM18" s="374" t="str">
        <f>Maaned!BO20</f>
        <v>weekend</v>
      </c>
      <c r="AN18" s="375" t="str">
        <f>Maaned!BP20</f>
        <v/>
      </c>
      <c r="AO18" s="144">
        <f>Maaned!BT20</f>
        <v>16</v>
      </c>
      <c r="AP18" s="145" t="str">
        <f>Maaned!BU20</f>
        <v>ti</v>
      </c>
      <c r="AQ18" s="374" t="str">
        <f>Maaned!BV20</f>
        <v>skoledag</v>
      </c>
      <c r="AR18" s="375" t="str">
        <f>Maaned!BW20</f>
        <v/>
      </c>
      <c r="AS18" s="144">
        <f>Maaned!CA20</f>
        <v>16</v>
      </c>
      <c r="AT18" s="145" t="str">
        <f>Maaned!CB20</f>
        <v>to</v>
      </c>
      <c r="AU18" s="374" t="str">
        <f>Maaned!CC20</f>
        <v>feriedag</v>
      </c>
      <c r="AV18" s="377" t="str">
        <f>Maaned!CD20</f>
        <v/>
      </c>
    </row>
    <row r="19" spans="1:48" ht="24" customHeight="1">
      <c r="A19" s="144">
        <f>Maaned!B21</f>
        <v>17</v>
      </c>
      <c r="B19" s="145" t="str">
        <f>Maaned!C21</f>
        <v>lø</v>
      </c>
      <c r="C19" s="142" t="str">
        <f>Maaned!D21</f>
        <v>weekend</v>
      </c>
      <c r="D19" s="145" t="str">
        <f>Maaned!E21</f>
        <v/>
      </c>
      <c r="E19" s="144">
        <f>Maaned!I21</f>
        <v>17</v>
      </c>
      <c r="F19" s="145" t="str">
        <f>Maaned!J21</f>
        <v>ti</v>
      </c>
      <c r="G19" s="374" t="str">
        <f>Maaned!K21</f>
        <v>skoledag</v>
      </c>
      <c r="H19" s="375" t="str">
        <f>Maaned!L21</f>
        <v/>
      </c>
      <c r="I19" s="144">
        <f>Maaned!P21</f>
        <v>17</v>
      </c>
      <c r="J19" s="145" t="str">
        <f>Maaned!Q21</f>
        <v>to</v>
      </c>
      <c r="K19" s="374" t="str">
        <f>Maaned!R21</f>
        <v>Nul-dag</v>
      </c>
      <c r="L19" s="375" t="str">
        <f>Maaned!S21</f>
        <v/>
      </c>
      <c r="M19" s="144">
        <f>Maaned!W21</f>
        <v>17</v>
      </c>
      <c r="N19" s="145" t="str">
        <f>Maaned!X21</f>
        <v>sø</v>
      </c>
      <c r="O19" s="374" t="str">
        <f>Maaned!Y21</f>
        <v>weekend</v>
      </c>
      <c r="P19" s="375" t="str">
        <f>Maaned!Z21</f>
        <v/>
      </c>
      <c r="Q19" s="144">
        <f>Maaned!AD21</f>
        <v>17</v>
      </c>
      <c r="R19" s="145" t="str">
        <f>Maaned!AE21</f>
        <v>ti</v>
      </c>
      <c r="S19" s="374" t="str">
        <f>Maaned!AF21</f>
        <v>skoledag</v>
      </c>
      <c r="T19" s="375" t="str">
        <f>Maaned!AG21</f>
        <v/>
      </c>
      <c r="U19" s="144">
        <f>Maaned!AK21</f>
        <v>17</v>
      </c>
      <c r="V19" s="145" t="str">
        <f>Maaned!AL21</f>
        <v>fr</v>
      </c>
      <c r="W19" s="374" t="str">
        <f>Maaned!AM21</f>
        <v>skoledag</v>
      </c>
      <c r="X19" s="375" t="str">
        <f>Maaned!AN21</f>
        <v/>
      </c>
      <c r="Y19" s="144">
        <f>Maaned!AR21</f>
        <v>17</v>
      </c>
      <c r="Z19" s="145" t="str">
        <f>Maaned!AS21</f>
        <v>ma</v>
      </c>
      <c r="AA19" s="374" t="str">
        <f>Maaned!AT21</f>
        <v>skoledag</v>
      </c>
      <c r="AB19" s="375">
        <f>Maaned!AU21</f>
        <v>7.7142857142857144</v>
      </c>
      <c r="AC19" s="144">
        <f>Maaned!AY21</f>
        <v>17</v>
      </c>
      <c r="AD19" s="145" t="str">
        <f>Maaned!AZ21</f>
        <v>ti</v>
      </c>
      <c r="AE19" s="374" t="str">
        <f>Maaned!BA21</f>
        <v>skoledag</v>
      </c>
      <c r="AF19" s="375" t="str">
        <f>Maaned!BB21</f>
        <v/>
      </c>
      <c r="AG19" s="144">
        <f>Maaned!BF21</f>
        <v>17</v>
      </c>
      <c r="AH19" s="145" t="str">
        <f>Maaned!BG21</f>
        <v>fr</v>
      </c>
      <c r="AI19" s="374" t="str">
        <f>Maaned!BH21</f>
        <v>skoledag</v>
      </c>
      <c r="AJ19" s="375" t="str">
        <f>Maaned!BI21</f>
        <v/>
      </c>
      <c r="AK19" s="144">
        <f>Maaned!BM21</f>
        <v>17</v>
      </c>
      <c r="AL19" s="145" t="str">
        <f>Maaned!BN21</f>
        <v>sø</v>
      </c>
      <c r="AM19" s="374" t="str">
        <f>Maaned!BO21</f>
        <v>weekend</v>
      </c>
      <c r="AN19" s="375" t="str">
        <f>Maaned!BP21</f>
        <v/>
      </c>
      <c r="AO19" s="144">
        <f>Maaned!BT21</f>
        <v>17</v>
      </c>
      <c r="AP19" s="145" t="str">
        <f>Maaned!BU21</f>
        <v>on</v>
      </c>
      <c r="AQ19" s="374" t="str">
        <f>Maaned!BV21</f>
        <v>skoledag</v>
      </c>
      <c r="AR19" s="375" t="str">
        <f>Maaned!BW21</f>
        <v/>
      </c>
      <c r="AS19" s="144">
        <f>Maaned!CA21</f>
        <v>17</v>
      </c>
      <c r="AT19" s="145" t="str">
        <f>Maaned!CB21</f>
        <v>fr</v>
      </c>
      <c r="AU19" s="374" t="str">
        <f>Maaned!CC21</f>
        <v>feriedag</v>
      </c>
      <c r="AV19" s="377" t="str">
        <f>Maaned!CD21</f>
        <v/>
      </c>
    </row>
    <row r="20" spans="1:48" ht="24" customHeight="1">
      <c r="A20" s="144">
        <f>Maaned!B22</f>
        <v>18</v>
      </c>
      <c r="B20" s="145" t="str">
        <f>Maaned!C22</f>
        <v>sø</v>
      </c>
      <c r="C20" s="142" t="str">
        <f>Maaned!D22</f>
        <v>weekend</v>
      </c>
      <c r="D20" s="145" t="str">
        <f>Maaned!E22</f>
        <v/>
      </c>
      <c r="E20" s="144">
        <f>Maaned!I22</f>
        <v>18</v>
      </c>
      <c r="F20" s="145" t="str">
        <f>Maaned!J22</f>
        <v>on</v>
      </c>
      <c r="G20" s="374" t="str">
        <f>Maaned!K22</f>
        <v>skoledag</v>
      </c>
      <c r="H20" s="375" t="str">
        <f>Maaned!L22</f>
        <v/>
      </c>
      <c r="I20" s="144">
        <f>Maaned!P22</f>
        <v>18</v>
      </c>
      <c r="J20" s="145" t="str">
        <f>Maaned!Q22</f>
        <v>fr</v>
      </c>
      <c r="K20" s="374" t="str">
        <f>Maaned!R22</f>
        <v>Nul-dag</v>
      </c>
      <c r="L20" s="375" t="str">
        <f>Maaned!S22</f>
        <v/>
      </c>
      <c r="M20" s="144">
        <f>Maaned!W22</f>
        <v>18</v>
      </c>
      <c r="N20" s="145" t="str">
        <f>Maaned!X22</f>
        <v>ma</v>
      </c>
      <c r="O20" s="374" t="str">
        <f>Maaned!Y22</f>
        <v>skoledag</v>
      </c>
      <c r="P20" s="375">
        <f>Maaned!Z22</f>
        <v>46.857142857142854</v>
      </c>
      <c r="Q20" s="144">
        <f>Maaned!AD22</f>
        <v>18</v>
      </c>
      <c r="R20" s="145" t="str">
        <f>Maaned!AE22</f>
        <v>on</v>
      </c>
      <c r="S20" s="374" t="str">
        <f>Maaned!AF22</f>
        <v>skoledag</v>
      </c>
      <c r="T20" s="375" t="str">
        <f>Maaned!AG22</f>
        <v/>
      </c>
      <c r="U20" s="144">
        <f>Maaned!AK22</f>
        <v>18</v>
      </c>
      <c r="V20" s="145" t="str">
        <f>Maaned!AL22</f>
        <v>lø</v>
      </c>
      <c r="W20" s="374" t="str">
        <f>Maaned!AM22</f>
        <v>weekend</v>
      </c>
      <c r="X20" s="375" t="str">
        <f>Maaned!AN22</f>
        <v/>
      </c>
      <c r="Y20" s="144">
        <f>Maaned!AR22</f>
        <v>18</v>
      </c>
      <c r="Z20" s="145" t="str">
        <f>Maaned!AS22</f>
        <v>ti</v>
      </c>
      <c r="AA20" s="374" t="str">
        <f>Maaned!AT22</f>
        <v>skoledag</v>
      </c>
      <c r="AB20" s="375" t="str">
        <f>Maaned!AU22</f>
        <v/>
      </c>
      <c r="AC20" s="144">
        <f>Maaned!AY22</f>
        <v>18</v>
      </c>
      <c r="AD20" s="145" t="str">
        <f>Maaned!AZ22</f>
        <v>on</v>
      </c>
      <c r="AE20" s="374" t="str">
        <f>Maaned!BA22</f>
        <v>skoledag</v>
      </c>
      <c r="AF20" s="375" t="str">
        <f>Maaned!BB22</f>
        <v/>
      </c>
      <c r="AG20" s="144">
        <f>Maaned!BF22</f>
        <v>18</v>
      </c>
      <c r="AH20" s="145" t="str">
        <f>Maaned!BG22</f>
        <v>lø</v>
      </c>
      <c r="AI20" s="374" t="str">
        <f>Maaned!BH22</f>
        <v>weekend</v>
      </c>
      <c r="AJ20" s="375" t="str">
        <f>Maaned!BI22</f>
        <v/>
      </c>
      <c r="AK20" s="144">
        <f>Maaned!BM22</f>
        <v>18</v>
      </c>
      <c r="AL20" s="145" t="str">
        <f>Maaned!BN22</f>
        <v>ma</v>
      </c>
      <c r="AM20" s="374" t="str">
        <f>Maaned!BO22</f>
        <v>skoledag</v>
      </c>
      <c r="AN20" s="375">
        <f>Maaned!BP22</f>
        <v>20.714285714285715</v>
      </c>
      <c r="AO20" s="144">
        <f>Maaned!BT22</f>
        <v>18</v>
      </c>
      <c r="AP20" s="145" t="str">
        <f>Maaned!BU22</f>
        <v>to</v>
      </c>
      <c r="AQ20" s="374" t="str">
        <f>Maaned!BV22</f>
        <v>skoledag</v>
      </c>
      <c r="AR20" s="375" t="str">
        <f>Maaned!BW22</f>
        <v/>
      </c>
      <c r="AS20" s="144">
        <f>Maaned!CA22</f>
        <v>18</v>
      </c>
      <c r="AT20" s="145" t="str">
        <f>Maaned!CB22</f>
        <v>lø</v>
      </c>
      <c r="AU20" s="374" t="str">
        <f>Maaned!CC22</f>
        <v>weekend</v>
      </c>
      <c r="AV20" s="377" t="str">
        <f>Maaned!CD22</f>
        <v/>
      </c>
    </row>
    <row r="21" spans="1:48" ht="24" customHeight="1">
      <c r="A21" s="144">
        <f>Maaned!B23</f>
        <v>19</v>
      </c>
      <c r="B21" s="145" t="str">
        <f>Maaned!C23</f>
        <v>ma</v>
      </c>
      <c r="C21" s="142" t="str">
        <f>Maaned!D23</f>
        <v>skoledag</v>
      </c>
      <c r="D21" s="379">
        <f>Maaned!E23</f>
        <v>33.857142857142854</v>
      </c>
      <c r="E21" s="144">
        <f>Maaned!I23</f>
        <v>19</v>
      </c>
      <c r="F21" s="145" t="str">
        <f>Maaned!J23</f>
        <v>to</v>
      </c>
      <c r="G21" s="374" t="str">
        <f>Maaned!K23</f>
        <v>skoledag</v>
      </c>
      <c r="H21" s="375" t="str">
        <f>Maaned!L23</f>
        <v/>
      </c>
      <c r="I21" s="144">
        <f>Maaned!P23</f>
        <v>19</v>
      </c>
      <c r="J21" s="145" t="str">
        <f>Maaned!Q23</f>
        <v>lø</v>
      </c>
      <c r="K21" s="374" t="str">
        <f>Maaned!R23</f>
        <v>weekend</v>
      </c>
      <c r="L21" s="375" t="str">
        <f>Maaned!S23</f>
        <v/>
      </c>
      <c r="M21" s="144">
        <f>Maaned!W23</f>
        <v>19</v>
      </c>
      <c r="N21" s="145" t="str">
        <f>Maaned!X23</f>
        <v>ti</v>
      </c>
      <c r="O21" s="374" t="str">
        <f>Maaned!Y23</f>
        <v>skoledag</v>
      </c>
      <c r="P21" s="375" t="str">
        <f>Maaned!Z23</f>
        <v/>
      </c>
      <c r="Q21" s="144">
        <f>Maaned!AD23</f>
        <v>19</v>
      </c>
      <c r="R21" s="145" t="str">
        <f>Maaned!AE23</f>
        <v>to</v>
      </c>
      <c r="S21" s="374" t="str">
        <f>Maaned!AF23</f>
        <v>skoledag</v>
      </c>
      <c r="T21" s="375" t="str">
        <f>Maaned!AG23</f>
        <v/>
      </c>
      <c r="U21" s="144">
        <f>Maaned!AK23</f>
        <v>19</v>
      </c>
      <c r="V21" s="145" t="str">
        <f>Maaned!AL23</f>
        <v>sø</v>
      </c>
      <c r="W21" s="374" t="str">
        <f>Maaned!AM23</f>
        <v>weekend</v>
      </c>
      <c r="X21" s="375" t="str">
        <f>Maaned!AN23</f>
        <v/>
      </c>
      <c r="Y21" s="144">
        <f>Maaned!AR23</f>
        <v>19</v>
      </c>
      <c r="Z21" s="145" t="str">
        <f>Maaned!AS23</f>
        <v>on</v>
      </c>
      <c r="AA21" s="374" t="str">
        <f>Maaned!AT23</f>
        <v>skoledag</v>
      </c>
      <c r="AB21" s="375" t="str">
        <f>Maaned!AU23</f>
        <v/>
      </c>
      <c r="AC21" s="144">
        <f>Maaned!AY23</f>
        <v>19</v>
      </c>
      <c r="AD21" s="145" t="str">
        <f>Maaned!AZ23</f>
        <v>to</v>
      </c>
      <c r="AE21" s="374" t="str">
        <f>Maaned!BA23</f>
        <v>skoledag</v>
      </c>
      <c r="AF21" s="375" t="str">
        <f>Maaned!BB23</f>
        <v/>
      </c>
      <c r="AG21" s="144">
        <f>Maaned!BF23</f>
        <v>19</v>
      </c>
      <c r="AH21" s="145" t="str">
        <f>Maaned!BG23</f>
        <v>sø</v>
      </c>
      <c r="AI21" s="374" t="str">
        <f>Maaned!BH23</f>
        <v>weekend</v>
      </c>
      <c r="AJ21" s="375" t="str">
        <f>Maaned!BI23</f>
        <v/>
      </c>
      <c r="AK21" s="144">
        <f>Maaned!BM23</f>
        <v>19</v>
      </c>
      <c r="AL21" s="145" t="str">
        <f>Maaned!BN23</f>
        <v>ti</v>
      </c>
      <c r="AM21" s="374" t="str">
        <f>Maaned!BO23</f>
        <v>skoledag</v>
      </c>
      <c r="AN21" s="375" t="str">
        <f>Maaned!BP23</f>
        <v/>
      </c>
      <c r="AO21" s="144">
        <f>Maaned!BT23</f>
        <v>19</v>
      </c>
      <c r="AP21" s="145" t="str">
        <f>Maaned!BU23</f>
        <v>fr</v>
      </c>
      <c r="AQ21" s="374" t="str">
        <f>Maaned!BV23</f>
        <v>skoledag</v>
      </c>
      <c r="AR21" s="375" t="str">
        <f>Maaned!BW23</f>
        <v/>
      </c>
      <c r="AS21" s="144">
        <f>Maaned!CA23</f>
        <v>19</v>
      </c>
      <c r="AT21" s="145" t="str">
        <f>Maaned!CB23</f>
        <v>sø</v>
      </c>
      <c r="AU21" s="374" t="str">
        <f>Maaned!CC23</f>
        <v>weekend</v>
      </c>
      <c r="AV21" s="377" t="str">
        <f>Maaned!CD23</f>
        <v/>
      </c>
    </row>
    <row r="22" spans="1:48" ht="24" customHeight="1">
      <c r="A22" s="144">
        <f>Maaned!B24</f>
        <v>20</v>
      </c>
      <c r="B22" s="145" t="str">
        <f>Maaned!C24</f>
        <v>ti</v>
      </c>
      <c r="C22" s="142" t="str">
        <f>Maaned!D24</f>
        <v>skoledag</v>
      </c>
      <c r="D22" s="379" t="str">
        <f>Maaned!E24</f>
        <v/>
      </c>
      <c r="E22" s="144">
        <f>Maaned!I24</f>
        <v>20</v>
      </c>
      <c r="F22" s="145" t="str">
        <f>Maaned!J24</f>
        <v>fr</v>
      </c>
      <c r="G22" s="374" t="str">
        <f>Maaned!K24</f>
        <v>skoledag</v>
      </c>
      <c r="H22" s="375" t="str">
        <f>Maaned!L24</f>
        <v/>
      </c>
      <c r="I22" s="144">
        <f>Maaned!P24</f>
        <v>20</v>
      </c>
      <c r="J22" s="145" t="str">
        <f>Maaned!Q24</f>
        <v>sø</v>
      </c>
      <c r="K22" s="374" t="str">
        <f>Maaned!R24</f>
        <v>weekend</v>
      </c>
      <c r="L22" s="375" t="str">
        <f>Maaned!S24</f>
        <v/>
      </c>
      <c r="M22" s="144">
        <f>Maaned!W24</f>
        <v>20</v>
      </c>
      <c r="N22" s="145" t="str">
        <f>Maaned!X24</f>
        <v>on</v>
      </c>
      <c r="O22" s="374" t="str">
        <f>Maaned!Y24</f>
        <v>skoledag</v>
      </c>
      <c r="P22" s="375" t="str">
        <f>Maaned!Z24</f>
        <v/>
      </c>
      <c r="Q22" s="144">
        <f>Maaned!AD24</f>
        <v>20</v>
      </c>
      <c r="R22" s="145" t="str">
        <f>Maaned!AE24</f>
        <v>fr</v>
      </c>
      <c r="S22" s="374" t="str">
        <f>Maaned!AF24</f>
        <v>skoledag</v>
      </c>
      <c r="T22" s="375" t="str">
        <f>Maaned!AG24</f>
        <v/>
      </c>
      <c r="U22" s="144">
        <f>Maaned!AK24</f>
        <v>20</v>
      </c>
      <c r="V22" s="145" t="str">
        <f>Maaned!AL24</f>
        <v>ma</v>
      </c>
      <c r="W22" s="374" t="str">
        <f>Maaned!AM24</f>
        <v>skoledag</v>
      </c>
      <c r="X22" s="375">
        <f>Maaned!AN24</f>
        <v>3.7142857142857144</v>
      </c>
      <c r="Y22" s="144">
        <f>Maaned!AR24</f>
        <v>20</v>
      </c>
      <c r="Z22" s="145" t="str">
        <f>Maaned!AS24</f>
        <v>to</v>
      </c>
      <c r="AA22" s="374" t="str">
        <f>Maaned!AT24</f>
        <v>skoledag</v>
      </c>
      <c r="AB22" s="375" t="str">
        <f>Maaned!AU24</f>
        <v/>
      </c>
      <c r="AC22" s="144">
        <f>Maaned!AY24</f>
        <v>20</v>
      </c>
      <c r="AD22" s="145" t="str">
        <f>Maaned!AZ24</f>
        <v>fr</v>
      </c>
      <c r="AE22" s="374" t="str">
        <f>Maaned!BA24</f>
        <v>skoledag</v>
      </c>
      <c r="AF22" s="375" t="str">
        <f>Maaned!BB24</f>
        <v/>
      </c>
      <c r="AG22" s="144">
        <f>Maaned!BF24</f>
        <v>20</v>
      </c>
      <c r="AH22" s="145" t="str">
        <f>Maaned!BG24</f>
        <v>ma</v>
      </c>
      <c r="AI22" s="374" t="str">
        <f>Maaned!BH24</f>
        <v>skoledag</v>
      </c>
      <c r="AJ22" s="375">
        <f>Maaned!BI24</f>
        <v>16.714285714285715</v>
      </c>
      <c r="AK22" s="144">
        <f>Maaned!BM24</f>
        <v>20</v>
      </c>
      <c r="AL22" s="145" t="str">
        <f>Maaned!BN24</f>
        <v>on</v>
      </c>
      <c r="AM22" s="374" t="str">
        <f>Maaned!BO24</f>
        <v>skoledag</v>
      </c>
      <c r="AN22" s="375" t="str">
        <f>Maaned!BP24</f>
        <v/>
      </c>
      <c r="AO22" s="144">
        <f>Maaned!BT24</f>
        <v>20</v>
      </c>
      <c r="AP22" s="145" t="str">
        <f>Maaned!BU24</f>
        <v>lø</v>
      </c>
      <c r="AQ22" s="374" t="str">
        <f>Maaned!BV24</f>
        <v>Weekend</v>
      </c>
      <c r="AR22" s="375" t="str">
        <f>Maaned!BW24</f>
        <v/>
      </c>
      <c r="AS22" s="144">
        <f>Maaned!CA24</f>
        <v>20</v>
      </c>
      <c r="AT22" s="145" t="str">
        <f>Maaned!CB24</f>
        <v>ma</v>
      </c>
      <c r="AU22" s="374" t="str">
        <f>Maaned!CC24</f>
        <v>feriedag</v>
      </c>
      <c r="AV22" s="377">
        <f>Maaned!CD24</f>
        <v>29.714285714285715</v>
      </c>
    </row>
    <row r="23" spans="1:48" ht="24" customHeight="1">
      <c r="A23" s="144">
        <f>Maaned!B25</f>
        <v>21</v>
      </c>
      <c r="B23" s="145" t="str">
        <f>Maaned!C25</f>
        <v>on</v>
      </c>
      <c r="C23" s="142" t="str">
        <f>Maaned!D25</f>
        <v>skoledag</v>
      </c>
      <c r="D23" s="379" t="str">
        <f>Maaned!E25</f>
        <v/>
      </c>
      <c r="E23" s="144">
        <f>Maaned!I25</f>
        <v>21</v>
      </c>
      <c r="F23" s="145" t="str">
        <f>Maaned!J25</f>
        <v>lø</v>
      </c>
      <c r="G23" s="374" t="str">
        <f>Maaned!K25</f>
        <v>weekend</v>
      </c>
      <c r="H23" s="375" t="str">
        <f>Maaned!L25</f>
        <v/>
      </c>
      <c r="I23" s="144">
        <f>Maaned!P25</f>
        <v>21</v>
      </c>
      <c r="J23" s="145" t="str">
        <f>Maaned!Q25</f>
        <v>ma</v>
      </c>
      <c r="K23" s="374" t="str">
        <f>Maaned!R25</f>
        <v>skoledag</v>
      </c>
      <c r="L23" s="375">
        <f>Maaned!S25</f>
        <v>42.857142857142854</v>
      </c>
      <c r="M23" s="144">
        <f>Maaned!W25</f>
        <v>21</v>
      </c>
      <c r="N23" s="145" t="str">
        <f>Maaned!X25</f>
        <v>to</v>
      </c>
      <c r="O23" s="374" t="str">
        <f>Maaned!Y25</f>
        <v>skoledag</v>
      </c>
      <c r="P23" s="375" t="str">
        <f>Maaned!Z25</f>
        <v/>
      </c>
      <c r="Q23" s="144">
        <f>Maaned!AD25</f>
        <v>21</v>
      </c>
      <c r="R23" s="145" t="str">
        <f>Maaned!AE25</f>
        <v>lø</v>
      </c>
      <c r="S23" s="374" t="str">
        <f>Maaned!AF25</f>
        <v>weekend</v>
      </c>
      <c r="T23" s="375" t="str">
        <f>Maaned!AG25</f>
        <v/>
      </c>
      <c r="U23" s="144">
        <f>Maaned!AK25</f>
        <v>21</v>
      </c>
      <c r="V23" s="145" t="str">
        <f>Maaned!AL25</f>
        <v>ti</v>
      </c>
      <c r="W23" s="374" t="str">
        <f>Maaned!AM25</f>
        <v>skoledag</v>
      </c>
      <c r="X23" s="375" t="str">
        <f>Maaned!AN25</f>
        <v/>
      </c>
      <c r="Y23" s="144">
        <f>Maaned!AR25</f>
        <v>21</v>
      </c>
      <c r="Z23" s="145" t="str">
        <f>Maaned!AS25</f>
        <v>fr</v>
      </c>
      <c r="AA23" s="374" t="str">
        <f>Maaned!AT25</f>
        <v>skoledag</v>
      </c>
      <c r="AB23" s="375" t="str">
        <f>Maaned!AU25</f>
        <v/>
      </c>
      <c r="AC23" s="144">
        <f>Maaned!AY25</f>
        <v>21</v>
      </c>
      <c r="AD23" s="145" t="str">
        <f>Maaned!AZ25</f>
        <v>lø</v>
      </c>
      <c r="AE23" s="374" t="str">
        <f>Maaned!BA25</f>
        <v>weekend</v>
      </c>
      <c r="AF23" s="375" t="str">
        <f>Maaned!BB25</f>
        <v/>
      </c>
      <c r="AG23" s="144">
        <f>Maaned!BF25</f>
        <v>21</v>
      </c>
      <c r="AH23" s="145" t="str">
        <f>Maaned!BG25</f>
        <v>ti</v>
      </c>
      <c r="AI23" s="374" t="str">
        <f>Maaned!BH25</f>
        <v>skoledag</v>
      </c>
      <c r="AJ23" s="375" t="str">
        <f>Maaned!BI25</f>
        <v/>
      </c>
      <c r="AK23" s="144">
        <f>Maaned!BM25</f>
        <v>21</v>
      </c>
      <c r="AL23" s="145" t="str">
        <f>Maaned!BN25</f>
        <v>to</v>
      </c>
      <c r="AM23" s="374" t="str">
        <f>Maaned!BO25</f>
        <v>SH-dag</v>
      </c>
      <c r="AN23" s="375" t="str">
        <f>Maaned!BP25</f>
        <v/>
      </c>
      <c r="AO23" s="144">
        <f>Maaned!BT25</f>
        <v>21</v>
      </c>
      <c r="AP23" s="145" t="str">
        <f>Maaned!BU25</f>
        <v>sø</v>
      </c>
      <c r="AQ23" s="374" t="str">
        <f>Maaned!BV25</f>
        <v>Weekend</v>
      </c>
      <c r="AR23" s="375" t="str">
        <f>Maaned!BW25</f>
        <v/>
      </c>
      <c r="AS23" s="144">
        <f>Maaned!CA25</f>
        <v>21</v>
      </c>
      <c r="AT23" s="145" t="str">
        <f>Maaned!CB25</f>
        <v>ti</v>
      </c>
      <c r="AU23" s="374" t="str">
        <f>Maaned!CC25</f>
        <v>feriedag</v>
      </c>
      <c r="AV23" s="377" t="str">
        <f>Maaned!CD25</f>
        <v/>
      </c>
    </row>
    <row r="24" spans="1:48" ht="24" customHeight="1">
      <c r="A24" s="144">
        <f>Maaned!B26</f>
        <v>22</v>
      </c>
      <c r="B24" s="145" t="str">
        <f>Maaned!C26</f>
        <v>to</v>
      </c>
      <c r="C24" s="142" t="str">
        <f>Maaned!D26</f>
        <v>skoledag</v>
      </c>
      <c r="D24" s="379" t="str">
        <f>Maaned!E26</f>
        <v/>
      </c>
      <c r="E24" s="144">
        <f>Maaned!I26</f>
        <v>22</v>
      </c>
      <c r="F24" s="145" t="str">
        <f>Maaned!J26</f>
        <v>sø</v>
      </c>
      <c r="G24" s="374" t="str">
        <f>Maaned!K26</f>
        <v>weekend</v>
      </c>
      <c r="H24" s="375" t="str">
        <f>Maaned!L26</f>
        <v/>
      </c>
      <c r="I24" s="144">
        <f>Maaned!P26</f>
        <v>22</v>
      </c>
      <c r="J24" s="145" t="str">
        <f>Maaned!Q26</f>
        <v>ti</v>
      </c>
      <c r="K24" s="374" t="str">
        <f>Maaned!R26</f>
        <v>skoledag</v>
      </c>
      <c r="L24" s="375" t="str">
        <f>Maaned!S26</f>
        <v/>
      </c>
      <c r="M24" s="144">
        <f>Maaned!W26</f>
        <v>22</v>
      </c>
      <c r="N24" s="145" t="str">
        <f>Maaned!X26</f>
        <v>fr</v>
      </c>
      <c r="O24" s="374" t="str">
        <f>Maaned!Y26</f>
        <v>skoledag</v>
      </c>
      <c r="P24" s="375" t="str">
        <f>Maaned!Z26</f>
        <v/>
      </c>
      <c r="Q24" s="144">
        <f>Maaned!AD26</f>
        <v>22</v>
      </c>
      <c r="R24" s="145" t="str">
        <f>Maaned!AE26</f>
        <v>sø</v>
      </c>
      <c r="S24" s="374" t="str">
        <f>Maaned!AF26</f>
        <v>weekend</v>
      </c>
      <c r="T24" s="375" t="str">
        <f>Maaned!AG26</f>
        <v/>
      </c>
      <c r="U24" s="144">
        <f>Maaned!AK26</f>
        <v>22</v>
      </c>
      <c r="V24" s="145" t="str">
        <f>Maaned!AL26</f>
        <v>on</v>
      </c>
      <c r="W24" s="374" t="str">
        <f>Maaned!AM26</f>
        <v>skoledag</v>
      </c>
      <c r="X24" s="375" t="str">
        <f>Maaned!AN26</f>
        <v/>
      </c>
      <c r="Y24" s="144">
        <f>Maaned!AR26</f>
        <v>22</v>
      </c>
      <c r="Z24" s="145" t="str">
        <f>Maaned!AS26</f>
        <v>lø</v>
      </c>
      <c r="AA24" s="374" t="str">
        <f>Maaned!AT26</f>
        <v>weekend</v>
      </c>
      <c r="AB24" s="375" t="str">
        <f>Maaned!AU26</f>
        <v/>
      </c>
      <c r="AC24" s="144">
        <f>Maaned!AY26</f>
        <v>22</v>
      </c>
      <c r="AD24" s="145" t="str">
        <f>Maaned!AZ26</f>
        <v>sø</v>
      </c>
      <c r="AE24" s="374" t="str">
        <f>Maaned!BA26</f>
        <v>weekend</v>
      </c>
      <c r="AF24" s="375" t="str">
        <f>Maaned!BB26</f>
        <v/>
      </c>
      <c r="AG24" s="144">
        <f>Maaned!BF26</f>
        <v>22</v>
      </c>
      <c r="AH24" s="145" t="str">
        <f>Maaned!BG26</f>
        <v>on</v>
      </c>
      <c r="AI24" s="374" t="str">
        <f>Maaned!BH26</f>
        <v>skoledag</v>
      </c>
      <c r="AJ24" s="375" t="str">
        <f>Maaned!BI26</f>
        <v/>
      </c>
      <c r="AK24" s="144">
        <f>Maaned!BM26</f>
        <v>22</v>
      </c>
      <c r="AL24" s="145" t="str">
        <f>Maaned!BN26</f>
        <v>fr</v>
      </c>
      <c r="AM24" s="374" t="str">
        <f>Maaned!BO26</f>
        <v>Nul-dag</v>
      </c>
      <c r="AN24" s="375" t="str">
        <f>Maaned!BP26</f>
        <v/>
      </c>
      <c r="AO24" s="144">
        <f>Maaned!BT26</f>
        <v>22</v>
      </c>
      <c r="AP24" s="145" t="str">
        <f>Maaned!BU26</f>
        <v>ma</v>
      </c>
      <c r="AQ24" s="374" t="str">
        <f>Maaned!BV26</f>
        <v>skoledag</v>
      </c>
      <c r="AR24" s="375">
        <f>Maaned!BW26</f>
        <v>25.714285714285715</v>
      </c>
      <c r="AS24" s="144">
        <f>Maaned!CA26</f>
        <v>22</v>
      </c>
      <c r="AT24" s="145" t="str">
        <f>Maaned!CB26</f>
        <v>on</v>
      </c>
      <c r="AU24" s="374" t="str">
        <f>Maaned!CC26</f>
        <v>feriedag</v>
      </c>
      <c r="AV24" s="377" t="str">
        <f>Maaned!CD26</f>
        <v/>
      </c>
    </row>
    <row r="25" spans="1:48" ht="24" customHeight="1">
      <c r="A25" s="144">
        <f>Maaned!B27</f>
        <v>23</v>
      </c>
      <c r="B25" s="145" t="str">
        <f>Maaned!C27</f>
        <v>fr</v>
      </c>
      <c r="C25" s="142" t="str">
        <f>Maaned!D27</f>
        <v>skoledag</v>
      </c>
      <c r="D25" s="379" t="str">
        <f>Maaned!E27</f>
        <v/>
      </c>
      <c r="E25" s="144">
        <f>Maaned!I27</f>
        <v>23</v>
      </c>
      <c r="F25" s="145" t="str">
        <f>Maaned!J27</f>
        <v>ma</v>
      </c>
      <c r="G25" s="374" t="str">
        <f>Maaned!K27</f>
        <v>skoledag</v>
      </c>
      <c r="H25" s="375">
        <f>Maaned!L27</f>
        <v>38.857142857142854</v>
      </c>
      <c r="I25" s="144">
        <f>Maaned!P27</f>
        <v>23</v>
      </c>
      <c r="J25" s="145" t="str">
        <f>Maaned!Q27</f>
        <v>on</v>
      </c>
      <c r="K25" s="374" t="str">
        <f>Maaned!R27</f>
        <v>skoledag</v>
      </c>
      <c r="L25" s="375" t="str">
        <f>Maaned!S27</f>
        <v/>
      </c>
      <c r="M25" s="144">
        <f>Maaned!W27</f>
        <v>23</v>
      </c>
      <c r="N25" s="145" t="str">
        <f>Maaned!X27</f>
        <v>lø</v>
      </c>
      <c r="O25" s="374" t="str">
        <f>Maaned!Y27</f>
        <v>weekend</v>
      </c>
      <c r="P25" s="375" t="str">
        <f>Maaned!Z27</f>
        <v/>
      </c>
      <c r="Q25" s="144">
        <f>Maaned!AD27</f>
        <v>23</v>
      </c>
      <c r="R25" s="145" t="str">
        <f>Maaned!AE27</f>
        <v>ma</v>
      </c>
      <c r="S25" s="374" t="str">
        <f>Maaned!AF27</f>
        <v>nul-dag</v>
      </c>
      <c r="T25" s="375">
        <f>Maaned!AG27</f>
        <v>51.857142857142854</v>
      </c>
      <c r="U25" s="144">
        <f>Maaned!AK27</f>
        <v>23</v>
      </c>
      <c r="V25" s="145" t="str">
        <f>Maaned!AL27</f>
        <v>to</v>
      </c>
      <c r="W25" s="374" t="str">
        <f>Maaned!AM27</f>
        <v>skoledag</v>
      </c>
      <c r="X25" s="375" t="str">
        <f>Maaned!AN27</f>
        <v/>
      </c>
      <c r="Y25" s="144">
        <f>Maaned!AR27</f>
        <v>23</v>
      </c>
      <c r="Z25" s="145" t="str">
        <f>Maaned!AS27</f>
        <v>sø</v>
      </c>
      <c r="AA25" s="374" t="str">
        <f>Maaned!AT27</f>
        <v>weekend</v>
      </c>
      <c r="AB25" s="375" t="str">
        <f>Maaned!AU27</f>
        <v/>
      </c>
      <c r="AC25" s="144">
        <f>Maaned!AY27</f>
        <v>23</v>
      </c>
      <c r="AD25" s="145" t="str">
        <f>Maaned!AZ27</f>
        <v>ma</v>
      </c>
      <c r="AE25" s="374" t="str">
        <f>Maaned!BA27</f>
        <v>skoledag</v>
      </c>
      <c r="AF25" s="375">
        <f>Maaned!BB27</f>
        <v>12.714285714285714</v>
      </c>
      <c r="AG25" s="144">
        <f>Maaned!BF27</f>
        <v>23</v>
      </c>
      <c r="AH25" s="145" t="str">
        <f>Maaned!BG27</f>
        <v>to</v>
      </c>
      <c r="AI25" s="374" t="str">
        <f>Maaned!BH27</f>
        <v>skoledag</v>
      </c>
      <c r="AJ25" s="375" t="str">
        <f>Maaned!BI27</f>
        <v/>
      </c>
      <c r="AK25" s="144">
        <f>Maaned!BM27</f>
        <v>23</v>
      </c>
      <c r="AL25" s="145" t="str">
        <f>Maaned!BN27</f>
        <v>lø</v>
      </c>
      <c r="AM25" s="374" t="str">
        <f>Maaned!BO27</f>
        <v>weekend</v>
      </c>
      <c r="AN25" s="375" t="str">
        <f>Maaned!BP27</f>
        <v/>
      </c>
      <c r="AO25" s="144">
        <f>Maaned!BT27</f>
        <v>23</v>
      </c>
      <c r="AP25" s="145" t="str">
        <f>Maaned!BU27</f>
        <v>ti</v>
      </c>
      <c r="AQ25" s="374" t="str">
        <f>Maaned!BV27</f>
        <v>skoledag</v>
      </c>
      <c r="AR25" s="375" t="str">
        <f>Maaned!BW27</f>
        <v/>
      </c>
      <c r="AS25" s="144">
        <f>Maaned!CA27</f>
        <v>23</v>
      </c>
      <c r="AT25" s="145" t="str">
        <f>Maaned!CB27</f>
        <v>to</v>
      </c>
      <c r="AU25" s="374" t="str">
        <f>Maaned!CC27</f>
        <v>feriedag</v>
      </c>
      <c r="AV25" s="377" t="str">
        <f>Maaned!CD27</f>
        <v/>
      </c>
    </row>
    <row r="26" spans="1:48" ht="24" customHeight="1">
      <c r="A26" s="144">
        <f>Maaned!B28</f>
        <v>24</v>
      </c>
      <c r="B26" s="145" t="str">
        <f>Maaned!C28</f>
        <v>lø</v>
      </c>
      <c r="C26" s="142" t="str">
        <f>Maaned!D28</f>
        <v>weekend</v>
      </c>
      <c r="D26" s="379" t="str">
        <f>Maaned!E28</f>
        <v/>
      </c>
      <c r="E26" s="144">
        <f>Maaned!I28</f>
        <v>24</v>
      </c>
      <c r="F26" s="145" t="str">
        <f>Maaned!J28</f>
        <v>ti</v>
      </c>
      <c r="G26" s="374" t="str">
        <f>Maaned!K28</f>
        <v>skoledag</v>
      </c>
      <c r="H26" s="375" t="str">
        <f>Maaned!L28</f>
        <v/>
      </c>
      <c r="I26" s="144">
        <f>Maaned!P28</f>
        <v>24</v>
      </c>
      <c r="J26" s="145" t="str">
        <f>Maaned!Q28</f>
        <v>to</v>
      </c>
      <c r="K26" s="374" t="str">
        <f>Maaned!R28</f>
        <v>skoledag</v>
      </c>
      <c r="L26" s="375" t="str">
        <f>Maaned!S28</f>
        <v/>
      </c>
      <c r="M26" s="144">
        <f>Maaned!W28</f>
        <v>24</v>
      </c>
      <c r="N26" s="145" t="str">
        <f>Maaned!X28</f>
        <v>sø</v>
      </c>
      <c r="O26" s="374" t="str">
        <f>Maaned!Y28</f>
        <v>weekend</v>
      </c>
      <c r="P26" s="375" t="str">
        <f>Maaned!Z28</f>
        <v/>
      </c>
      <c r="Q26" s="144">
        <f>Maaned!AD28</f>
        <v>24</v>
      </c>
      <c r="R26" s="145" t="str">
        <f>Maaned!AE28</f>
        <v>ti</v>
      </c>
      <c r="S26" s="374" t="str">
        <f>Maaned!AF28</f>
        <v>nul-dag</v>
      </c>
      <c r="T26" s="375" t="str">
        <f>Maaned!AG28</f>
        <v/>
      </c>
      <c r="U26" s="144">
        <f>Maaned!AK28</f>
        <v>24</v>
      </c>
      <c r="V26" s="145" t="str">
        <f>Maaned!AL28</f>
        <v>fr</v>
      </c>
      <c r="W26" s="374" t="str">
        <f>Maaned!AM28</f>
        <v>skoledag</v>
      </c>
      <c r="X26" s="375" t="str">
        <f>Maaned!AN28</f>
        <v/>
      </c>
      <c r="Y26" s="144">
        <f>Maaned!AR28</f>
        <v>24</v>
      </c>
      <c r="Z26" s="145" t="str">
        <f>Maaned!AS28</f>
        <v>ma</v>
      </c>
      <c r="AA26" s="374" t="str">
        <f>Maaned!AT28</f>
        <v>skoledag</v>
      </c>
      <c r="AB26" s="375">
        <f>Maaned!AU28</f>
        <v>8.7142857142857135</v>
      </c>
      <c r="AC26" s="144">
        <f>Maaned!AY28</f>
        <v>24</v>
      </c>
      <c r="AD26" s="145" t="str">
        <f>Maaned!AZ28</f>
        <v>ti</v>
      </c>
      <c r="AE26" s="374" t="str">
        <f>Maaned!BA28</f>
        <v>skoledag</v>
      </c>
      <c r="AF26" s="375" t="str">
        <f>Maaned!BB28</f>
        <v/>
      </c>
      <c r="AG26" s="144">
        <f>Maaned!BF28</f>
        <v>24</v>
      </c>
      <c r="AH26" s="145" t="str">
        <f>Maaned!BG28</f>
        <v>fr</v>
      </c>
      <c r="AI26" s="374" t="str">
        <f>Maaned!BH28</f>
        <v>skoledag</v>
      </c>
      <c r="AJ26" s="375" t="str">
        <f>Maaned!BI28</f>
        <v/>
      </c>
      <c r="AK26" s="144">
        <f>Maaned!BM28</f>
        <v>24</v>
      </c>
      <c r="AL26" s="145" t="str">
        <f>Maaned!BN28</f>
        <v>sø</v>
      </c>
      <c r="AM26" s="374" t="str">
        <f>Maaned!BO28</f>
        <v>weekend</v>
      </c>
      <c r="AN26" s="375" t="str">
        <f>Maaned!BP28</f>
        <v/>
      </c>
      <c r="AO26" s="144">
        <f>Maaned!BT28</f>
        <v>24</v>
      </c>
      <c r="AP26" s="145" t="str">
        <f>Maaned!BU28</f>
        <v>on</v>
      </c>
      <c r="AQ26" s="374" t="str">
        <f>Maaned!BV28</f>
        <v>skoledag</v>
      </c>
      <c r="AR26" s="375" t="str">
        <f>Maaned!BW28</f>
        <v/>
      </c>
      <c r="AS26" s="144">
        <f>Maaned!CA28</f>
        <v>24</v>
      </c>
      <c r="AT26" s="145" t="str">
        <f>Maaned!CB28</f>
        <v>fr</v>
      </c>
      <c r="AU26" s="374" t="str">
        <f>Maaned!CC28</f>
        <v>feriedag</v>
      </c>
      <c r="AV26" s="377" t="str">
        <f>Maaned!CD28</f>
        <v/>
      </c>
    </row>
    <row r="27" spans="1:48" ht="24" customHeight="1">
      <c r="A27" s="144">
        <f>Maaned!B29</f>
        <v>25</v>
      </c>
      <c r="B27" s="145" t="str">
        <f>Maaned!C29</f>
        <v>sø</v>
      </c>
      <c r="C27" s="142" t="str">
        <f>Maaned!D29</f>
        <v>weekend</v>
      </c>
      <c r="D27" s="379" t="str">
        <f>Maaned!E29</f>
        <v/>
      </c>
      <c r="E27" s="144">
        <f>Maaned!I29</f>
        <v>25</v>
      </c>
      <c r="F27" s="145" t="str">
        <f>Maaned!J29</f>
        <v>on</v>
      </c>
      <c r="G27" s="374" t="str">
        <f>Maaned!K29</f>
        <v>skoledag</v>
      </c>
      <c r="H27" s="375" t="str">
        <f>Maaned!L29</f>
        <v/>
      </c>
      <c r="I27" s="144">
        <f>Maaned!P29</f>
        <v>25</v>
      </c>
      <c r="J27" s="145" t="str">
        <f>Maaned!Q29</f>
        <v>fr</v>
      </c>
      <c r="K27" s="374" t="str">
        <f>Maaned!R29</f>
        <v>skoledag</v>
      </c>
      <c r="L27" s="375" t="str">
        <f>Maaned!S29</f>
        <v/>
      </c>
      <c r="M27" s="144">
        <f>Maaned!W29</f>
        <v>25</v>
      </c>
      <c r="N27" s="145" t="str">
        <f>Maaned!X29</f>
        <v>ma</v>
      </c>
      <c r="O27" s="374" t="str">
        <f>Maaned!Y29</f>
        <v>skoledag</v>
      </c>
      <c r="P27" s="375">
        <f>Maaned!Z29</f>
        <v>47.857142857142854</v>
      </c>
      <c r="Q27" s="144">
        <f>Maaned!AD29</f>
        <v>25</v>
      </c>
      <c r="R27" s="145" t="str">
        <f>Maaned!AE29</f>
        <v>on</v>
      </c>
      <c r="S27" s="374" t="str">
        <f>Maaned!AF29</f>
        <v>SH-dag</v>
      </c>
      <c r="T27" s="375" t="str">
        <f>Maaned!AG29</f>
        <v/>
      </c>
      <c r="U27" s="144">
        <f>Maaned!AK29</f>
        <v>25</v>
      </c>
      <c r="V27" s="145" t="str">
        <f>Maaned!AL29</f>
        <v>lø</v>
      </c>
      <c r="W27" s="374" t="str">
        <f>Maaned!AM29</f>
        <v>weekend</v>
      </c>
      <c r="X27" s="375" t="str">
        <f>Maaned!AN29</f>
        <v/>
      </c>
      <c r="Y27" s="144">
        <f>Maaned!AR29</f>
        <v>25</v>
      </c>
      <c r="Z27" s="145" t="str">
        <f>Maaned!AS29</f>
        <v>ti</v>
      </c>
      <c r="AA27" s="374" t="str">
        <f>Maaned!AT29</f>
        <v>skoledag</v>
      </c>
      <c r="AB27" s="375" t="str">
        <f>Maaned!AU29</f>
        <v/>
      </c>
      <c r="AC27" s="144">
        <f>Maaned!AY29</f>
        <v>25</v>
      </c>
      <c r="AD27" s="145" t="str">
        <f>Maaned!AZ29</f>
        <v>on</v>
      </c>
      <c r="AE27" s="374" t="str">
        <f>Maaned!BA29</f>
        <v>skoledag</v>
      </c>
      <c r="AF27" s="375" t="str">
        <f>Maaned!BB29</f>
        <v/>
      </c>
      <c r="AG27" s="144">
        <f>Maaned!BF29</f>
        <v>25</v>
      </c>
      <c r="AH27" s="145" t="str">
        <f>Maaned!BG29</f>
        <v>lø</v>
      </c>
      <c r="AI27" s="374" t="str">
        <f>Maaned!BH29</f>
        <v>weekend</v>
      </c>
      <c r="AJ27" s="375" t="str">
        <f>Maaned!BI29</f>
        <v/>
      </c>
      <c r="AK27" s="144">
        <f>Maaned!BM29</f>
        <v>25</v>
      </c>
      <c r="AL27" s="145" t="str">
        <f>Maaned!BN29</f>
        <v>ma</v>
      </c>
      <c r="AM27" s="374" t="str">
        <f>Maaned!BO29</f>
        <v>skoledag</v>
      </c>
      <c r="AN27" s="375">
        <f>Maaned!BP29</f>
        <v>21.714285714285715</v>
      </c>
      <c r="AO27" s="144">
        <f>Maaned!BT29</f>
        <v>25</v>
      </c>
      <c r="AP27" s="145" t="str">
        <f>Maaned!BU29</f>
        <v>to</v>
      </c>
      <c r="AQ27" s="374" t="str">
        <f>Maaned!BV29</f>
        <v>skoledag</v>
      </c>
      <c r="AR27" s="375" t="str">
        <f>Maaned!BW29</f>
        <v/>
      </c>
      <c r="AS27" s="144">
        <f>Maaned!CA29</f>
        <v>25</v>
      </c>
      <c r="AT27" s="145" t="str">
        <f>Maaned!CB29</f>
        <v>lø</v>
      </c>
      <c r="AU27" s="374" t="str">
        <f>Maaned!CC29</f>
        <v>weekend</v>
      </c>
      <c r="AV27" s="377" t="str">
        <f>Maaned!CD29</f>
        <v/>
      </c>
    </row>
    <row r="28" spans="1:48" ht="24" customHeight="1">
      <c r="A28" s="144">
        <f>Maaned!B30</f>
        <v>26</v>
      </c>
      <c r="B28" s="145" t="str">
        <f>Maaned!C30</f>
        <v>ma</v>
      </c>
      <c r="C28" s="142" t="str">
        <f>Maaned!D30</f>
        <v>skoledag</v>
      </c>
      <c r="D28" s="379">
        <f>Maaned!E30</f>
        <v>34.857142857142854</v>
      </c>
      <c r="E28" s="144">
        <f>Maaned!I30</f>
        <v>26</v>
      </c>
      <c r="F28" s="145" t="str">
        <f>Maaned!J30</f>
        <v>to</v>
      </c>
      <c r="G28" s="374" t="str">
        <f>Maaned!K30</f>
        <v>skoledag</v>
      </c>
      <c r="H28" s="375" t="str">
        <f>Maaned!L30</f>
        <v/>
      </c>
      <c r="I28" s="144">
        <f>Maaned!P30</f>
        <v>26</v>
      </c>
      <c r="J28" s="145" t="str">
        <f>Maaned!Q30</f>
        <v>lø</v>
      </c>
      <c r="K28" s="374" t="str">
        <f>Maaned!R30</f>
        <v>weekend</v>
      </c>
      <c r="L28" s="375" t="str">
        <f>Maaned!S30</f>
        <v/>
      </c>
      <c r="M28" s="144">
        <f>Maaned!W30</f>
        <v>26</v>
      </c>
      <c r="N28" s="145" t="str">
        <f>Maaned!X30</f>
        <v>ti</v>
      </c>
      <c r="O28" s="374" t="str">
        <f>Maaned!Y30</f>
        <v>skoledag</v>
      </c>
      <c r="P28" s="375" t="str">
        <f>Maaned!Z30</f>
        <v/>
      </c>
      <c r="Q28" s="144">
        <f>Maaned!AD30</f>
        <v>26</v>
      </c>
      <c r="R28" s="145" t="str">
        <f>Maaned!AE30</f>
        <v>to</v>
      </c>
      <c r="S28" s="374" t="str">
        <f>Maaned!AF30</f>
        <v>SH-dag</v>
      </c>
      <c r="T28" s="375" t="str">
        <f>Maaned!AG30</f>
        <v/>
      </c>
      <c r="U28" s="144">
        <f>Maaned!AK30</f>
        <v>26</v>
      </c>
      <c r="V28" s="145" t="str">
        <f>Maaned!AL30</f>
        <v>sø</v>
      </c>
      <c r="W28" s="374" t="str">
        <f>Maaned!AM30</f>
        <v>weekend</v>
      </c>
      <c r="X28" s="375" t="str">
        <f>Maaned!AN30</f>
        <v/>
      </c>
      <c r="Y28" s="144">
        <f>Maaned!AR30</f>
        <v>26</v>
      </c>
      <c r="Z28" s="145" t="str">
        <f>Maaned!AS30</f>
        <v>on</v>
      </c>
      <c r="AA28" s="374" t="str">
        <f>Maaned!AT30</f>
        <v>skoledag</v>
      </c>
      <c r="AB28" s="375" t="str">
        <f>Maaned!AU30</f>
        <v/>
      </c>
      <c r="AC28" s="144">
        <f>Maaned!AY30</f>
        <v>26</v>
      </c>
      <c r="AD28" s="145" t="str">
        <f>Maaned!AZ30</f>
        <v>to</v>
      </c>
      <c r="AE28" s="374" t="str">
        <f>Maaned!BA30</f>
        <v>skoledag</v>
      </c>
      <c r="AF28" s="375" t="str">
        <f>Maaned!BB30</f>
        <v/>
      </c>
      <c r="AG28" s="144">
        <f>Maaned!BF30</f>
        <v>26</v>
      </c>
      <c r="AH28" s="145" t="str">
        <f>Maaned!BG30</f>
        <v>sø</v>
      </c>
      <c r="AI28" s="374" t="str">
        <f>Maaned!BH30</f>
        <v>weekend</v>
      </c>
      <c r="AJ28" s="375" t="str">
        <f>Maaned!BI30</f>
        <v/>
      </c>
      <c r="AK28" s="144">
        <f>Maaned!BM30</f>
        <v>26</v>
      </c>
      <c r="AL28" s="145" t="str">
        <f>Maaned!BN30</f>
        <v>ti</v>
      </c>
      <c r="AM28" s="374" t="str">
        <f>Maaned!BO30</f>
        <v>skoledag</v>
      </c>
      <c r="AN28" s="375" t="str">
        <f>Maaned!BP30</f>
        <v/>
      </c>
      <c r="AO28" s="144">
        <f>Maaned!BT30</f>
        <v>26</v>
      </c>
      <c r="AP28" s="145" t="str">
        <f>Maaned!BU30</f>
        <v>fr</v>
      </c>
      <c r="AQ28" s="374" t="str">
        <f>Maaned!BV30</f>
        <v>skoledag</v>
      </c>
      <c r="AR28" s="375" t="str">
        <f>Maaned!BW30</f>
        <v/>
      </c>
      <c r="AS28" s="144">
        <f>Maaned!CA30</f>
        <v>26</v>
      </c>
      <c r="AT28" s="145" t="str">
        <f>Maaned!CB30</f>
        <v>sø</v>
      </c>
      <c r="AU28" s="374" t="str">
        <f>Maaned!CC30</f>
        <v>weekend</v>
      </c>
      <c r="AV28" s="377" t="str">
        <f>Maaned!CD30</f>
        <v/>
      </c>
    </row>
    <row r="29" spans="1:48" ht="24" customHeight="1">
      <c r="A29" s="144">
        <f>Maaned!B31</f>
        <v>27</v>
      </c>
      <c r="B29" s="145" t="str">
        <f>Maaned!C31</f>
        <v>ti</v>
      </c>
      <c r="C29" s="142" t="str">
        <f>Maaned!D31</f>
        <v>skoledag</v>
      </c>
      <c r="D29" s="379" t="str">
        <f>Maaned!E31</f>
        <v/>
      </c>
      <c r="E29" s="144">
        <f>Maaned!I31</f>
        <v>27</v>
      </c>
      <c r="F29" s="145" t="str">
        <f>Maaned!J31</f>
        <v>fr</v>
      </c>
      <c r="G29" s="374" t="str">
        <f>Maaned!K31</f>
        <v>skoledag</v>
      </c>
      <c r="H29" s="375" t="str">
        <f>Maaned!L31</f>
        <v/>
      </c>
      <c r="I29" s="144">
        <f>Maaned!P31</f>
        <v>27</v>
      </c>
      <c r="J29" s="145" t="str">
        <f>Maaned!Q31</f>
        <v>sø</v>
      </c>
      <c r="K29" s="374" t="str">
        <f>Maaned!R31</f>
        <v>weekend</v>
      </c>
      <c r="L29" s="375" t="str">
        <f>Maaned!S31</f>
        <v/>
      </c>
      <c r="M29" s="144">
        <f>Maaned!W31</f>
        <v>27</v>
      </c>
      <c r="N29" s="145" t="str">
        <f>Maaned!X31</f>
        <v>on</v>
      </c>
      <c r="O29" s="374" t="str">
        <f>Maaned!Y31</f>
        <v>skoledag</v>
      </c>
      <c r="P29" s="375" t="str">
        <f>Maaned!Z31</f>
        <v/>
      </c>
      <c r="Q29" s="144">
        <f>Maaned!AD31</f>
        <v>27</v>
      </c>
      <c r="R29" s="145" t="str">
        <f>Maaned!AE31</f>
        <v>fr</v>
      </c>
      <c r="S29" s="374" t="str">
        <f>Maaned!AF31</f>
        <v>Nul-dag</v>
      </c>
      <c r="T29" s="375" t="str">
        <f>Maaned!AG31</f>
        <v/>
      </c>
      <c r="U29" s="144">
        <f>Maaned!AK31</f>
        <v>27</v>
      </c>
      <c r="V29" s="145" t="str">
        <f>Maaned!AL31</f>
        <v>ma</v>
      </c>
      <c r="W29" s="374" t="str">
        <f>Maaned!AM31</f>
        <v>skoledag</v>
      </c>
      <c r="X29" s="375">
        <f>Maaned!AN31</f>
        <v>4.7142857142857144</v>
      </c>
      <c r="Y29" s="144">
        <f>Maaned!AR31</f>
        <v>27</v>
      </c>
      <c r="Z29" s="145" t="str">
        <f>Maaned!AS31</f>
        <v>to</v>
      </c>
      <c r="AA29" s="374" t="str">
        <f>Maaned!AT31</f>
        <v>skoledag</v>
      </c>
      <c r="AB29" s="375" t="str">
        <f>Maaned!AU31</f>
        <v/>
      </c>
      <c r="AC29" s="144">
        <f>Maaned!AY31</f>
        <v>27</v>
      </c>
      <c r="AD29" s="145" t="str">
        <f>Maaned!AZ31</f>
        <v>fr</v>
      </c>
      <c r="AE29" s="374" t="str">
        <f>Maaned!BA31</f>
        <v>skoledag</v>
      </c>
      <c r="AF29" s="375" t="str">
        <f>Maaned!BB31</f>
        <v/>
      </c>
      <c r="AG29" s="144">
        <f>Maaned!BF31</f>
        <v>27</v>
      </c>
      <c r="AH29" s="145" t="str">
        <f>Maaned!BG31</f>
        <v>ma</v>
      </c>
      <c r="AI29" s="374" t="str">
        <f>Maaned!BH31</f>
        <v>skoledag</v>
      </c>
      <c r="AJ29" s="375">
        <f>Maaned!BI31</f>
        <v>17.714285714285715</v>
      </c>
      <c r="AK29" s="144">
        <f>Maaned!BM31</f>
        <v>27</v>
      </c>
      <c r="AL29" s="145" t="str">
        <f>Maaned!BN31</f>
        <v>on</v>
      </c>
      <c r="AM29" s="374" t="str">
        <f>Maaned!BO31</f>
        <v>skoledag</v>
      </c>
      <c r="AN29" s="375" t="str">
        <f>Maaned!BP31</f>
        <v/>
      </c>
      <c r="AO29" s="144">
        <f>Maaned!BT31</f>
        <v>27</v>
      </c>
      <c r="AP29" s="145" t="str">
        <f>Maaned!BU31</f>
        <v>lø</v>
      </c>
      <c r="AQ29" s="374" t="str">
        <f>Maaned!BV31</f>
        <v>Weekend</v>
      </c>
      <c r="AR29" s="375" t="str">
        <f>Maaned!BW31</f>
        <v/>
      </c>
      <c r="AS29" s="144">
        <f>Maaned!CA31</f>
        <v>27</v>
      </c>
      <c r="AT29" s="145" t="str">
        <f>Maaned!CB31</f>
        <v>ma</v>
      </c>
      <c r="AU29" s="374" t="str">
        <f>Maaned!CC31</f>
        <v>feriedag</v>
      </c>
      <c r="AV29" s="377">
        <f>Maaned!CD31</f>
        <v>30.714285714285715</v>
      </c>
    </row>
    <row r="30" spans="1:48" ht="24" customHeight="1">
      <c r="A30" s="144">
        <f>Maaned!B32</f>
        <v>28</v>
      </c>
      <c r="B30" s="145" t="str">
        <f>Maaned!C32</f>
        <v>on</v>
      </c>
      <c r="C30" s="142" t="str">
        <f>Maaned!D32</f>
        <v>skoledag</v>
      </c>
      <c r="D30" s="379" t="str">
        <f>Maaned!E32</f>
        <v/>
      </c>
      <c r="E30" s="144">
        <f>Maaned!I32</f>
        <v>28</v>
      </c>
      <c r="F30" s="145" t="str">
        <f>Maaned!J32</f>
        <v>lø</v>
      </c>
      <c r="G30" s="374" t="str">
        <f>Maaned!K32</f>
        <v>weekend</v>
      </c>
      <c r="H30" s="375" t="str">
        <f>Maaned!L32</f>
        <v/>
      </c>
      <c r="I30" s="144">
        <f>Maaned!P32</f>
        <v>28</v>
      </c>
      <c r="J30" s="145" t="str">
        <f>Maaned!Q32</f>
        <v>ma</v>
      </c>
      <c r="K30" s="374" t="str">
        <f>Maaned!R32</f>
        <v>skoledag</v>
      </c>
      <c r="L30" s="375">
        <f>Maaned!S32</f>
        <v>43.857142857142854</v>
      </c>
      <c r="M30" s="144">
        <f>Maaned!W32</f>
        <v>28</v>
      </c>
      <c r="N30" s="145" t="str">
        <f>Maaned!X32</f>
        <v>to</v>
      </c>
      <c r="O30" s="374" t="str">
        <f>Maaned!Y32</f>
        <v>skoledag</v>
      </c>
      <c r="P30" s="375" t="str">
        <f>Maaned!Z32</f>
        <v/>
      </c>
      <c r="Q30" s="144">
        <f>Maaned!AD32</f>
        <v>28</v>
      </c>
      <c r="R30" s="145" t="str">
        <f>Maaned!AE32</f>
        <v>lø</v>
      </c>
      <c r="S30" s="374" t="str">
        <f>Maaned!AF32</f>
        <v>weekend</v>
      </c>
      <c r="T30" s="375" t="str">
        <f>Maaned!AG32</f>
        <v/>
      </c>
      <c r="U30" s="144">
        <f>Maaned!AK32</f>
        <v>28</v>
      </c>
      <c r="V30" s="145" t="str">
        <f>Maaned!AL32</f>
        <v>ti</v>
      </c>
      <c r="W30" s="374" t="str">
        <f>Maaned!AM32</f>
        <v>skoledag</v>
      </c>
      <c r="X30" s="375" t="str">
        <f>Maaned!AN32</f>
        <v/>
      </c>
      <c r="Y30" s="517">
        <f>Maaned!AR32</f>
        <v>28</v>
      </c>
      <c r="Z30" s="518" t="str">
        <f>Maaned!AS32</f>
        <v>fr</v>
      </c>
      <c r="AA30" s="374" t="str">
        <f>Maaned!AT32</f>
        <v>skoledag</v>
      </c>
      <c r="AB30" s="519" t="str">
        <f>Maaned!AU32</f>
        <v/>
      </c>
      <c r="AC30" s="144">
        <f>Maaned!AY32</f>
        <v>28</v>
      </c>
      <c r="AD30" s="145" t="str">
        <f>Maaned!AZ32</f>
        <v>lø</v>
      </c>
      <c r="AE30" s="374" t="str">
        <f>Maaned!BA32</f>
        <v>weekend</v>
      </c>
      <c r="AF30" s="375" t="str">
        <f>Maaned!BB32</f>
        <v/>
      </c>
      <c r="AG30" s="144">
        <f>Maaned!BF32</f>
        <v>28</v>
      </c>
      <c r="AH30" s="145" t="str">
        <f>Maaned!BG32</f>
        <v>ti</v>
      </c>
      <c r="AI30" s="374" t="str">
        <f>Maaned!BH32</f>
        <v>skoledag</v>
      </c>
      <c r="AJ30" s="375" t="str">
        <f>Maaned!BI32</f>
        <v/>
      </c>
      <c r="AK30" s="144">
        <f>Maaned!BM32</f>
        <v>28</v>
      </c>
      <c r="AL30" s="145" t="str">
        <f>Maaned!BN32</f>
        <v>to</v>
      </c>
      <c r="AM30" s="374" t="str">
        <f>Maaned!BO32</f>
        <v>skoledag</v>
      </c>
      <c r="AN30" s="375" t="str">
        <f>Maaned!BP32</f>
        <v/>
      </c>
      <c r="AO30" s="144">
        <f>Maaned!BT32</f>
        <v>28</v>
      </c>
      <c r="AP30" s="145" t="str">
        <f>Maaned!BU32</f>
        <v>sø</v>
      </c>
      <c r="AQ30" s="374" t="str">
        <f>Maaned!BV32</f>
        <v>Weekend</v>
      </c>
      <c r="AR30" s="375" t="str">
        <f>Maaned!BW32</f>
        <v/>
      </c>
      <c r="AS30" s="144">
        <f>Maaned!CA32</f>
        <v>28</v>
      </c>
      <c r="AT30" s="145" t="str">
        <f>Maaned!CB32</f>
        <v>ti</v>
      </c>
      <c r="AU30" s="374" t="str">
        <f>Maaned!CC32</f>
        <v>feriedag</v>
      </c>
      <c r="AV30" s="377" t="str">
        <f>Maaned!CD32</f>
        <v/>
      </c>
    </row>
    <row r="31" spans="1:48" ht="24" customHeight="1">
      <c r="A31" s="144">
        <f>Maaned!B33</f>
        <v>29</v>
      </c>
      <c r="B31" s="145" t="str">
        <f>Maaned!C33</f>
        <v>to</v>
      </c>
      <c r="C31" s="142" t="str">
        <f>Maaned!D33</f>
        <v>skoledag</v>
      </c>
      <c r="D31" s="145" t="str">
        <f>Maaned!E33</f>
        <v/>
      </c>
      <c r="E31" s="144">
        <f>Maaned!I33</f>
        <v>29</v>
      </c>
      <c r="F31" s="145" t="str">
        <f>Maaned!J33</f>
        <v>sø</v>
      </c>
      <c r="G31" s="374" t="str">
        <f>Maaned!K33</f>
        <v>weekend</v>
      </c>
      <c r="H31" s="375" t="str">
        <f>Maaned!L33</f>
        <v/>
      </c>
      <c r="I31" s="144">
        <f>Maaned!P33</f>
        <v>29</v>
      </c>
      <c r="J31" s="145" t="str">
        <f>Maaned!Q33</f>
        <v>ti</v>
      </c>
      <c r="K31" s="374" t="str">
        <f>Maaned!R33</f>
        <v>skoledag</v>
      </c>
      <c r="L31" s="375" t="str">
        <f>Maaned!S33</f>
        <v/>
      </c>
      <c r="M31" s="144">
        <f>Maaned!W33</f>
        <v>29</v>
      </c>
      <c r="N31" s="145" t="str">
        <f>Maaned!X33</f>
        <v>fr</v>
      </c>
      <c r="O31" s="374" t="str">
        <f>Maaned!Y33</f>
        <v>skoledag</v>
      </c>
      <c r="P31" s="375" t="str">
        <f>Maaned!Z33</f>
        <v/>
      </c>
      <c r="Q31" s="144">
        <f>Maaned!AD33</f>
        <v>29</v>
      </c>
      <c r="R31" s="145" t="str">
        <f>Maaned!AE33</f>
        <v>sø</v>
      </c>
      <c r="S31" s="374" t="str">
        <f>Maaned!AF33</f>
        <v>weekend</v>
      </c>
      <c r="T31" s="375" t="str">
        <f>Maaned!AG33</f>
        <v/>
      </c>
      <c r="U31" s="144">
        <f>Maaned!AK33</f>
        <v>29</v>
      </c>
      <c r="V31" s="145" t="str">
        <f>Maaned!AL33</f>
        <v>on</v>
      </c>
      <c r="W31" s="374" t="str">
        <f>Maaned!AM33</f>
        <v>skoledag</v>
      </c>
      <c r="X31" s="375" t="str">
        <f>Maaned!AN33</f>
        <v/>
      </c>
      <c r="Y31" s="574">
        <f>Maaned!AR33</f>
        <v>29</v>
      </c>
      <c r="Z31" s="575" t="str">
        <f>Maaned!AS33</f>
        <v>lø</v>
      </c>
      <c r="AA31" s="311" t="str">
        <f>Maaned!AT33</f>
        <v>weekend</v>
      </c>
      <c r="AB31" s="378" t="str">
        <f>Maaned!AU33</f>
        <v/>
      </c>
      <c r="AC31" s="144">
        <f>Maaned!AY33</f>
        <v>29</v>
      </c>
      <c r="AD31" s="145" t="str">
        <f>Maaned!AZ33</f>
        <v>sø</v>
      </c>
      <c r="AE31" s="374" t="str">
        <f>Maaned!BA33</f>
        <v>weekend</v>
      </c>
      <c r="AF31" s="375" t="str">
        <f>Maaned!BB33</f>
        <v/>
      </c>
      <c r="AG31" s="144">
        <f>Maaned!BF33</f>
        <v>29</v>
      </c>
      <c r="AH31" s="145" t="str">
        <f>Maaned!BG33</f>
        <v>on</v>
      </c>
      <c r="AI31" s="374" t="str">
        <f>Maaned!BH33</f>
        <v>skoledag</v>
      </c>
      <c r="AJ31" s="375" t="str">
        <f>Maaned!BI33</f>
        <v/>
      </c>
      <c r="AK31" s="144">
        <f>Maaned!BM33</f>
        <v>29</v>
      </c>
      <c r="AL31" s="145" t="str">
        <f>Maaned!BN33</f>
        <v>fr</v>
      </c>
      <c r="AM31" s="374" t="str">
        <f>Maaned!BO33</f>
        <v>skoledag</v>
      </c>
      <c r="AN31" s="375" t="str">
        <f>Maaned!BP33</f>
        <v/>
      </c>
      <c r="AO31" s="144">
        <f>Maaned!BT33</f>
        <v>29</v>
      </c>
      <c r="AP31" s="145" t="str">
        <f>Maaned!BU33</f>
        <v>ma</v>
      </c>
      <c r="AQ31" s="374" t="str">
        <f>Maaned!BV33</f>
        <v>Nul-dag</v>
      </c>
      <c r="AR31" s="375">
        <f>Maaned!BW33</f>
        <v>26.714285714285715</v>
      </c>
      <c r="AS31" s="144">
        <f>Maaned!CA33</f>
        <v>29</v>
      </c>
      <c r="AT31" s="145" t="str">
        <f>Maaned!CB33</f>
        <v>on</v>
      </c>
      <c r="AU31" s="374" t="str">
        <f>Maaned!CC33</f>
        <v>feriedag</v>
      </c>
      <c r="AV31" s="377" t="str">
        <f>Maaned!CD33</f>
        <v/>
      </c>
    </row>
    <row r="32" spans="1:48" ht="24" customHeight="1">
      <c r="A32" s="144">
        <f>Maaned!B34</f>
        <v>30</v>
      </c>
      <c r="B32" s="145" t="str">
        <f>Maaned!C34</f>
        <v>fr</v>
      </c>
      <c r="C32" s="142" t="str">
        <f>Maaned!D34</f>
        <v>skoledag</v>
      </c>
      <c r="D32" s="145" t="str">
        <f>Maaned!E34</f>
        <v/>
      </c>
      <c r="E32" s="144">
        <f>Maaned!I34</f>
        <v>30</v>
      </c>
      <c r="F32" s="145" t="str">
        <f>Maaned!J34</f>
        <v>ma</v>
      </c>
      <c r="G32" s="311" t="str">
        <f>Maaned!K34</f>
        <v>skoledag</v>
      </c>
      <c r="H32" s="375">
        <f>Maaned!L34</f>
        <v>39.857142857142854</v>
      </c>
      <c r="I32" s="144">
        <f>Maaned!P34</f>
        <v>30</v>
      </c>
      <c r="J32" s="145" t="str">
        <f>Maaned!Q34</f>
        <v>on</v>
      </c>
      <c r="K32" s="374" t="str">
        <f>Maaned!R34</f>
        <v>skoledag</v>
      </c>
      <c r="L32" s="375" t="str">
        <f>Maaned!S34</f>
        <v/>
      </c>
      <c r="M32" s="144">
        <f>Maaned!W34</f>
        <v>30</v>
      </c>
      <c r="N32" s="145" t="str">
        <f>Maaned!X34</f>
        <v>lø</v>
      </c>
      <c r="O32" s="311" t="str">
        <f>Maaned!Y34</f>
        <v>weekend</v>
      </c>
      <c r="P32" s="375" t="str">
        <f>Maaned!Z34</f>
        <v/>
      </c>
      <c r="Q32" s="144">
        <f>Maaned!AD34</f>
        <v>30</v>
      </c>
      <c r="R32" s="145" t="str">
        <f>Maaned!AE34</f>
        <v>ma</v>
      </c>
      <c r="S32" s="374" t="str">
        <f>Maaned!AF34</f>
        <v>nul-dag</v>
      </c>
      <c r="T32" s="375">
        <f>Maaned!AG34</f>
        <v>1</v>
      </c>
      <c r="U32" s="144">
        <f>Maaned!AK34</f>
        <v>30</v>
      </c>
      <c r="V32" s="145" t="str">
        <f>Maaned!AL34</f>
        <v>to</v>
      </c>
      <c r="W32" s="374" t="str">
        <f>Maaned!AM34</f>
        <v>skoledag</v>
      </c>
      <c r="X32" s="375" t="str">
        <f>Maaned!AN34</f>
        <v/>
      </c>
      <c r="Y32" s="159">
        <f>Maaned!AR34</f>
        <v>0</v>
      </c>
      <c r="Z32" s="160">
        <f>Maaned!AS34</f>
        <v>0</v>
      </c>
      <c r="AA32" s="161">
        <f>IF(AND(Maaned!AT34="fridag",Maaned!AV34&lt;&gt;""),Maaned!AV34,Maaned!AT34)</f>
        <v>0</v>
      </c>
      <c r="AB32" s="162"/>
      <c r="AC32" s="144">
        <f>Maaned!AY34</f>
        <v>30</v>
      </c>
      <c r="AD32" s="145" t="str">
        <f>Maaned!AZ34</f>
        <v>ma</v>
      </c>
      <c r="AE32" s="374" t="str">
        <f>Maaned!BA34</f>
        <v>skoledag</v>
      </c>
      <c r="AF32" s="375">
        <f>Maaned!BB34</f>
        <v>13.714285714285714</v>
      </c>
      <c r="AG32" s="144">
        <f>Maaned!BF34</f>
        <v>30</v>
      </c>
      <c r="AH32" s="145" t="str">
        <f>Maaned!BG34</f>
        <v>to</v>
      </c>
      <c r="AI32" s="311" t="str">
        <f>Maaned!BH34</f>
        <v>skoledag</v>
      </c>
      <c r="AJ32" s="375" t="str">
        <f>Maaned!BI34</f>
        <v/>
      </c>
      <c r="AK32" s="144">
        <f>Maaned!BM34</f>
        <v>30</v>
      </c>
      <c r="AL32" s="145" t="str">
        <f>Maaned!BN34</f>
        <v>lø</v>
      </c>
      <c r="AM32" s="374" t="str">
        <f>Maaned!BO34</f>
        <v>weekend</v>
      </c>
      <c r="AN32" s="375" t="str">
        <f>Maaned!BP34</f>
        <v/>
      </c>
      <c r="AO32" s="144">
        <f>Maaned!BT34</f>
        <v>30</v>
      </c>
      <c r="AP32" s="145" t="str">
        <f>Maaned!BU34</f>
        <v>ti</v>
      </c>
      <c r="AQ32" s="311" t="str">
        <f>Maaned!BV34</f>
        <v>Nul-dag</v>
      </c>
      <c r="AR32" s="375" t="str">
        <f>Maaned!BW34</f>
        <v/>
      </c>
      <c r="AS32" s="144">
        <f>Maaned!CA34</f>
        <v>30</v>
      </c>
      <c r="AT32" s="145" t="str">
        <f>Maaned!CB34</f>
        <v>to</v>
      </c>
      <c r="AU32" s="374" t="str">
        <f>Maaned!CC34</f>
        <v>feriedag</v>
      </c>
      <c r="AV32" s="377" t="str">
        <f>Maaned!CD34</f>
        <v/>
      </c>
    </row>
    <row r="33" spans="1:48" ht="24" customHeight="1">
      <c r="A33" s="144">
        <f>Maaned!B35</f>
        <v>31</v>
      </c>
      <c r="B33" s="145" t="str">
        <f>Maaned!C35</f>
        <v>lø</v>
      </c>
      <c r="C33" s="311" t="str">
        <f>Maaned!D35</f>
        <v>weekend</v>
      </c>
      <c r="D33" s="145" t="str">
        <f>Maaned!E35</f>
        <v/>
      </c>
      <c r="E33" s="146">
        <f>Maaned!I35</f>
        <v>0</v>
      </c>
      <c r="F33" s="147">
        <f>Maaned!J35</f>
        <v>0</v>
      </c>
      <c r="G33" s="148">
        <f>IF(AND(Maaned!K35="fridag",Maaned!M35&lt;&gt;""),Maaned!M35,Maaned!K35)</f>
        <v>0</v>
      </c>
      <c r="H33" s="149">
        <f>Maaned!L35</f>
        <v>0</v>
      </c>
      <c r="I33" s="144">
        <f>Maaned!P35</f>
        <v>31</v>
      </c>
      <c r="J33" s="145" t="str">
        <f>Maaned!Q35</f>
        <v>to</v>
      </c>
      <c r="K33" s="311" t="str">
        <f>Maaned!R35</f>
        <v>skoledag</v>
      </c>
      <c r="L33" s="375" t="str">
        <f>Maaned!S35</f>
        <v/>
      </c>
      <c r="M33" s="146">
        <f>Maaned!W35</f>
        <v>0</v>
      </c>
      <c r="N33" s="147">
        <f>Maaned!X35</f>
        <v>0</v>
      </c>
      <c r="O33" s="148">
        <f>IF(AND(Maaned!Y35="fridag",Maaned!AA35&lt;&gt;""),Maaned!AA35,Maaned!Y35)</f>
        <v>0</v>
      </c>
      <c r="P33" s="150">
        <f>Maaned!Z35</f>
        <v>0</v>
      </c>
      <c r="Q33" s="144">
        <f>Maaned!AD35</f>
        <v>31</v>
      </c>
      <c r="R33" s="145" t="str">
        <f>Maaned!AE35</f>
        <v>ti</v>
      </c>
      <c r="S33" s="311" t="str">
        <f>Maaned!AF35</f>
        <v>nul-dag</v>
      </c>
      <c r="T33" s="375" t="str">
        <f>Maaned!AG35</f>
        <v/>
      </c>
      <c r="U33" s="144">
        <f>Maaned!AK35</f>
        <v>31</v>
      </c>
      <c r="V33" s="145" t="str">
        <f>Maaned!AL35</f>
        <v>fr</v>
      </c>
      <c r="W33" s="311" t="str">
        <f>Maaned!AM35</f>
        <v>skoledag</v>
      </c>
      <c r="X33" s="375" t="str">
        <f>Maaned!AN35</f>
        <v/>
      </c>
      <c r="Y33" s="159">
        <f>Maaned!AR35</f>
        <v>0</v>
      </c>
      <c r="Z33" s="160">
        <f>Maaned!AS35</f>
        <v>0</v>
      </c>
      <c r="AA33" s="161">
        <f>IF(AND(Maaned!AT35="fridag",Maaned!AV35&lt;&gt;""),Maaned!AV35,Maaned!AT35)</f>
        <v>0</v>
      </c>
      <c r="AB33" s="162">
        <f>Maaned!AU35</f>
        <v>0</v>
      </c>
      <c r="AC33" s="144">
        <f>Maaned!AY35</f>
        <v>31</v>
      </c>
      <c r="AD33" s="145" t="str">
        <f>Maaned!AZ35</f>
        <v>ti</v>
      </c>
      <c r="AE33" s="311" t="str">
        <f>Maaned!BA35</f>
        <v>skoledag</v>
      </c>
      <c r="AF33" s="375" t="str">
        <f>Maaned!BB35</f>
        <v/>
      </c>
      <c r="AG33" s="146">
        <f>Maaned!BF35</f>
        <v>0</v>
      </c>
      <c r="AH33" s="147">
        <f>Maaned!BG35</f>
        <v>0</v>
      </c>
      <c r="AI33" s="148">
        <f>IF(OR(Maaned!BJ35="",Maaned!BH35&lt;&gt;"fridag"),Maaned!BH35,Maaned!BJ35)</f>
        <v>0</v>
      </c>
      <c r="AJ33" s="150">
        <f>Maaned!BI35</f>
        <v>0</v>
      </c>
      <c r="AK33" s="144">
        <f>Maaned!BM35</f>
        <v>31</v>
      </c>
      <c r="AL33" s="145" t="str">
        <f>Maaned!BN35</f>
        <v>sø</v>
      </c>
      <c r="AM33" s="311" t="str">
        <f>Maaned!BO35</f>
        <v>weekend</v>
      </c>
      <c r="AN33" s="375" t="str">
        <f>Maaned!BP35</f>
        <v/>
      </c>
      <c r="AO33" s="146">
        <f>Maaned!BT35</f>
        <v>0</v>
      </c>
      <c r="AP33" s="147">
        <f>Maaned!BU35</f>
        <v>0</v>
      </c>
      <c r="AQ33" s="148">
        <f>IF(AND(Maaned!BV35="fridag",Maaned!BX35&lt;&gt;""),Maaned!BX35,Maaned!BV35)</f>
        <v>0</v>
      </c>
      <c r="AR33" s="150">
        <f>Maaned!BW35</f>
        <v>0</v>
      </c>
      <c r="AS33" s="144">
        <f>Maaned!CA35</f>
        <v>31</v>
      </c>
      <c r="AT33" s="145" t="str">
        <f>Maaned!CB35</f>
        <v>fr</v>
      </c>
      <c r="AU33" s="311" t="str">
        <f>Maaned!CC35</f>
        <v>feriedag</v>
      </c>
      <c r="AV33" s="378" t="str">
        <f>Maaned!CD35</f>
        <v/>
      </c>
    </row>
    <row r="34" spans="1:48" ht="13">
      <c r="A34" s="151"/>
      <c r="B34" s="151">
        <v>17</v>
      </c>
      <c r="C34" s="152" t="s">
        <v>235</v>
      </c>
      <c r="D34" s="151"/>
      <c r="E34" s="152"/>
      <c r="F34" s="152">
        <v>21</v>
      </c>
      <c r="G34" s="152" t="s">
        <v>235</v>
      </c>
      <c r="H34" s="152"/>
      <c r="I34" s="151"/>
      <c r="J34" s="151">
        <v>23</v>
      </c>
      <c r="K34" s="151" t="s">
        <v>235</v>
      </c>
      <c r="L34" s="151"/>
      <c r="M34" s="152"/>
      <c r="N34" s="152">
        <v>21</v>
      </c>
      <c r="O34" s="152" t="s">
        <v>235</v>
      </c>
      <c r="P34" s="152"/>
      <c r="Q34" s="151"/>
      <c r="R34" s="151">
        <v>20</v>
      </c>
      <c r="S34" s="151" t="s">
        <v>235</v>
      </c>
      <c r="T34" s="151"/>
      <c r="U34" s="153"/>
      <c r="V34" s="153">
        <v>22</v>
      </c>
      <c r="W34" s="151" t="s">
        <v>235</v>
      </c>
      <c r="X34" s="154"/>
      <c r="Y34" s="152"/>
      <c r="Z34" s="152">
        <v>20</v>
      </c>
      <c r="AA34" s="152" t="s">
        <v>235</v>
      </c>
      <c r="AB34" s="152"/>
      <c r="AC34" s="151"/>
      <c r="AD34" s="151">
        <v>22</v>
      </c>
      <c r="AE34" s="151" t="s">
        <v>235</v>
      </c>
      <c r="AF34" s="151"/>
      <c r="AG34" s="152"/>
      <c r="AH34" s="152">
        <v>19</v>
      </c>
      <c r="AI34" s="152" t="s">
        <v>235</v>
      </c>
      <c r="AJ34" s="152"/>
      <c r="AK34" s="151"/>
      <c r="AL34" s="151">
        <v>19</v>
      </c>
      <c r="AM34" s="151" t="s">
        <v>235</v>
      </c>
      <c r="AN34" s="151"/>
      <c r="AO34" s="152"/>
      <c r="AP34" s="152">
        <v>21</v>
      </c>
      <c r="AQ34" s="152" t="s">
        <v>235</v>
      </c>
      <c r="AR34" s="152"/>
      <c r="AS34" s="151"/>
      <c r="AT34" s="576">
        <v>6.36</v>
      </c>
      <c r="AU34" s="151" t="s">
        <v>235</v>
      </c>
      <c r="AV34" s="151"/>
    </row>
    <row r="35" spans="1:48" ht="24" customHeight="1">
      <c r="A35" s="465" t="s">
        <v>306</v>
      </c>
      <c r="B35" s="466"/>
      <c r="C35" s="466"/>
      <c r="D35" s="467"/>
      <c r="E35" s="468"/>
      <c r="F35" s="466"/>
      <c r="G35" s="469">
        <f>Maaned!CJ35</f>
        <v>366</v>
      </c>
      <c r="H35" s="291"/>
      <c r="I35" s="438" t="s">
        <v>304</v>
      </c>
      <c r="J35" s="439"/>
      <c r="K35" s="439"/>
      <c r="L35" s="439"/>
      <c r="M35" s="440"/>
      <c r="N35" s="439"/>
      <c r="O35" s="441">
        <f>Maaned!CJ30</f>
        <v>104</v>
      </c>
      <c r="P35" s="295"/>
      <c r="Q35" s="442" t="s">
        <v>305</v>
      </c>
      <c r="R35" s="443"/>
      <c r="S35" s="443"/>
      <c r="T35" s="443"/>
      <c r="U35" s="444"/>
      <c r="V35" s="443"/>
      <c r="W35" s="445">
        <f>Maaned!CJ31</f>
        <v>9</v>
      </c>
      <c r="X35" s="291"/>
      <c r="Y35" s="446" t="s">
        <v>307</v>
      </c>
      <c r="Z35" s="447"/>
      <c r="AA35" s="447"/>
      <c r="AB35" s="447"/>
      <c r="AC35" s="448"/>
      <c r="AD35" s="447"/>
      <c r="AE35" s="449">
        <f>Maaned!CJ32</f>
        <v>21</v>
      </c>
      <c r="AF35" s="291"/>
      <c r="AG35" s="457" t="s">
        <v>310</v>
      </c>
      <c r="AH35" s="458"/>
      <c r="AI35" s="458"/>
      <c r="AJ35" s="458"/>
      <c r="AK35" s="459"/>
      <c r="AL35" s="458"/>
      <c r="AM35" s="460">
        <f>Maaned!CJ33</f>
        <v>32</v>
      </c>
      <c r="AP35" s="510" t="s">
        <v>356</v>
      </c>
      <c r="AQ35" s="507"/>
      <c r="AR35" s="507"/>
      <c r="AS35" s="507"/>
      <c r="AT35" s="508"/>
      <c r="AU35" s="507"/>
      <c r="AV35" s="509">
        <f>Maaned!CJ34</f>
        <v>0</v>
      </c>
    </row>
    <row r="36" spans="1:48" ht="13" thickBot="1"/>
    <row r="37" spans="1:48" ht="24" customHeight="1" thickBot="1">
      <c r="A37" s="294" t="s">
        <v>163</v>
      </c>
      <c r="B37" s="292"/>
      <c r="C37" s="292"/>
      <c r="D37" s="296"/>
      <c r="E37" s="293"/>
      <c r="F37" s="292"/>
      <c r="G37" s="437">
        <f>Maaned!CJ26</f>
        <v>200</v>
      </c>
      <c r="I37" s="452" t="s">
        <v>308</v>
      </c>
      <c r="J37" s="453"/>
      <c r="K37" s="453"/>
      <c r="L37" s="453"/>
      <c r="M37" s="454"/>
      <c r="N37" s="453"/>
      <c r="O37" s="491">
        <f>Maaned!CJ27</f>
        <v>0</v>
      </c>
      <c r="Q37" s="450" t="s">
        <v>309</v>
      </c>
      <c r="R37" s="451"/>
      <c r="S37" s="451"/>
      <c r="T37" s="451"/>
      <c r="U37" s="455"/>
      <c r="V37" s="451"/>
      <c r="W37" s="456">
        <f>Maaned!CJ28</f>
        <v>0</v>
      </c>
      <c r="Y37" s="461" t="s">
        <v>312</v>
      </c>
      <c r="Z37" s="462"/>
      <c r="AA37" s="462"/>
      <c r="AB37" s="462"/>
      <c r="AC37" s="463"/>
      <c r="AD37" s="462"/>
      <c r="AE37" s="464">
        <f>Maaned!CJ29</f>
        <v>0</v>
      </c>
      <c r="AG37" s="470" t="s">
        <v>311</v>
      </c>
      <c r="AH37" s="471"/>
      <c r="AI37" s="471"/>
      <c r="AJ37" s="471"/>
      <c r="AK37" s="472"/>
      <c r="AL37" s="471"/>
      <c r="AM37" s="473">
        <f>AE37+W37+O37+G37</f>
        <v>200</v>
      </c>
    </row>
    <row r="39" spans="1:48" ht="16">
      <c r="A39" s="294" t="s">
        <v>313</v>
      </c>
      <c r="B39" s="292"/>
      <c r="C39" s="292"/>
      <c r="D39" s="296"/>
      <c r="E39" s="293"/>
      <c r="F39" s="292"/>
      <c r="G39" s="437">
        <f>Maaned!CJ37</f>
        <v>39</v>
      </c>
      <c r="I39" s="294" t="s">
        <v>314</v>
      </c>
      <c r="J39" s="292"/>
      <c r="K39" s="292"/>
      <c r="L39" s="296"/>
      <c r="M39" s="293"/>
      <c r="N39" s="292"/>
      <c r="O39" s="437">
        <f>Maaned!CJ38</f>
        <v>41</v>
      </c>
      <c r="Q39" s="294" t="s">
        <v>315</v>
      </c>
      <c r="R39" s="292"/>
      <c r="S39" s="292"/>
      <c r="T39" s="296"/>
      <c r="U39" s="293"/>
      <c r="V39" s="292"/>
      <c r="W39" s="437">
        <f>Maaned!CJ39</f>
        <v>41</v>
      </c>
      <c r="Y39" s="294" t="s">
        <v>316</v>
      </c>
      <c r="Z39" s="292"/>
      <c r="AA39" s="292"/>
      <c r="AB39" s="296"/>
      <c r="AC39" s="293"/>
      <c r="AD39" s="292"/>
      <c r="AE39" s="437">
        <f>Maaned!CJ40</f>
        <v>40</v>
      </c>
      <c r="AG39" s="294" t="s">
        <v>317</v>
      </c>
      <c r="AH39" s="292"/>
      <c r="AI39" s="292"/>
      <c r="AJ39" s="296"/>
      <c r="AK39" s="293"/>
      <c r="AL39" s="292"/>
      <c r="AM39" s="437">
        <f>Maaned!CJ41</f>
        <v>39</v>
      </c>
    </row>
    <row r="41" spans="1:48" ht="16">
      <c r="A41" s="294" t="s">
        <v>318</v>
      </c>
      <c r="B41" s="292"/>
      <c r="C41" s="292"/>
      <c r="D41" s="296"/>
      <c r="E41" s="293"/>
      <c r="F41" s="292"/>
      <c r="G41" s="437">
        <f>Maaned!CJ42</f>
        <v>0</v>
      </c>
      <c r="I41" s="294" t="s">
        <v>319</v>
      </c>
      <c r="J41" s="292"/>
      <c r="K41" s="292"/>
      <c r="L41" s="296"/>
      <c r="M41" s="293"/>
      <c r="N41" s="292"/>
      <c r="O41" s="437">
        <f>Maaned!CJ43</f>
        <v>0</v>
      </c>
    </row>
  </sheetData>
  <sheetProtection sheet="1" formatCells="0" formatColumns="0" formatRows="0" insertColumns="0"/>
  <phoneticPr fontId="5" type="noConversion"/>
  <printOptions horizontalCentered="1" verticalCentered="1"/>
  <pageMargins left="0.19685039370078741" right="0.19685039370078741" top="0.39370078740157483" bottom="0.39370078740157483" header="0" footer="0"/>
  <pageSetup paperSize="9" scale="37" orientation="portrait" horizontalDpi="4294967292" verticalDpi="4294967292"/>
  <ignoredErrors>
    <ignoredError sqref="AE3:AE7 AI3:AI32 AM3:AM33 AQ3:AQ32 AU3:AU33 AE8:AE32 W3:W32 AA13:AA30 AA3:AA12 S3:S32 A3:O32 A33:N33 O33 S33 AB33 AA33 W33 AE33 P33:R33 AF33:AJ33 X33:Z33 AC33:AD33 T33:V33 AQ33:AR33 AA32" unlockedFormula="1"/>
  </ignoredErrors>
  <extLst>
    <ext xmlns:x14="http://schemas.microsoft.com/office/spreadsheetml/2009/9/main" uri="{78C0D931-6437-407d-A8EE-F0AAD7539E65}">
      <x14:conditionalFormattings>
        <x14:conditionalFormatting xmlns:xm="http://schemas.microsoft.com/office/excel/2006/main">
          <x14:cfRule type="expression" priority="12" id="{D54F4020-584C-4F4A-A11D-2CCC77621B47}">
            <xm:f>OR(Maaned!$D5="Ikke relevant")</xm:f>
            <x14:dxf>
              <font>
                <color theme="0"/>
              </font>
              <fill>
                <patternFill>
                  <bgColor theme="1"/>
                </patternFill>
              </fill>
            </x14:dxf>
          </x14:cfRule>
          <x14:cfRule type="expression" priority="143" id="{EAC82C95-1DEB-E64D-81BF-C87ED2E9AF0F}">
            <xm:f>OR(Maaned!$D5="weekend")</xm:f>
            <x14:dxf>
              <font>
                <color theme="1"/>
              </font>
              <fill>
                <patternFill>
                  <bgColor theme="0" tint="-0.14996795556505021"/>
                </patternFill>
              </fill>
            </x14:dxf>
          </x14:cfRule>
          <xm:sqref>A3:D33</xm:sqref>
        </x14:conditionalFormatting>
        <x14:conditionalFormatting xmlns:xm="http://schemas.microsoft.com/office/excel/2006/main">
          <x14:cfRule type="expression" priority="142" id="{9C74EDFC-6C3D-4748-BD87-F32A20D4629E}">
            <xm:f>OR(Maaned!$D5="feriedag")</xm:f>
            <x14:dxf>
              <font>
                <color theme="1"/>
              </font>
              <fill>
                <patternFill>
                  <bgColor theme="6" tint="0.39994506668294322"/>
                </patternFill>
              </fill>
            </x14:dxf>
          </x14:cfRule>
          <xm:sqref>A3:D33</xm:sqref>
        </x14:conditionalFormatting>
        <x14:conditionalFormatting xmlns:xm="http://schemas.microsoft.com/office/excel/2006/main">
          <x14:cfRule type="expression" priority="141" id="{058D7F2D-609A-1448-A8C4-F8D1C6547438}">
            <xm:f>OR(Maaned!$D5="fagdag")</xm:f>
            <x14:dxf>
              <font>
                <color theme="1"/>
              </font>
              <fill>
                <patternFill>
                  <bgColor theme="9" tint="0.59996337778862885"/>
                </patternFill>
              </fill>
            </x14:dxf>
          </x14:cfRule>
          <xm:sqref>A3:D33</xm:sqref>
        </x14:conditionalFormatting>
        <x14:conditionalFormatting xmlns:xm="http://schemas.microsoft.com/office/excel/2006/main">
          <x14:cfRule type="expression" priority="140" id="{36471A8C-38C8-864D-80A0-417376D2D0CB}">
            <xm:f>OR(Maaned!$D5="emnedag")</xm:f>
            <x14:dxf>
              <font>
                <color theme="1"/>
              </font>
              <fill>
                <patternFill>
                  <bgColor theme="5" tint="0.59996337778862885"/>
                </patternFill>
              </fill>
            </x14:dxf>
          </x14:cfRule>
          <xm:sqref>A3:D33</xm:sqref>
        </x14:conditionalFormatting>
        <x14:conditionalFormatting xmlns:xm="http://schemas.microsoft.com/office/excel/2006/main">
          <x14:cfRule type="expression" priority="137" id="{78B80DDE-7CA5-2D41-8B78-5F17E19A9795}">
            <xm:f>OR(Maaned!$D5="Nul-dag")</xm:f>
            <x14:dxf>
              <font>
                <color theme="1"/>
              </font>
              <fill>
                <patternFill>
                  <bgColor theme="4" tint="0.39994506668294322"/>
                </patternFill>
              </fill>
            </x14:dxf>
          </x14:cfRule>
          <x14:cfRule type="expression" priority="138" id="{F64A6795-1CA1-934D-9945-114DD9BD0BC6}">
            <xm:f>OR(Maaned!$D5="ekskursion")</xm:f>
            <x14:dxf>
              <font>
                <color theme="1"/>
              </font>
              <fill>
                <patternFill>
                  <bgColor rgb="FFFFFF00"/>
                </patternFill>
              </fill>
            </x14:dxf>
          </x14:cfRule>
          <x14:cfRule type="expression" priority="139" id="{FED3E8BE-7925-F74E-9860-2990D79E0BAC}">
            <xm:f>OR(Maaned!$D5="lejrskole")</xm:f>
            <x14:dxf>
              <font>
                <color theme="1"/>
              </font>
              <fill>
                <patternFill>
                  <bgColor theme="8" tint="0.59996337778862885"/>
                </patternFill>
              </fill>
            </x14:dxf>
          </x14:cfRule>
          <xm:sqref>A3:D33</xm:sqref>
        </x14:conditionalFormatting>
        <x14:conditionalFormatting xmlns:xm="http://schemas.microsoft.com/office/excel/2006/main">
          <x14:cfRule type="expression" priority="134" id="{74F1BFCC-B98D-8E4D-A11A-CDA31D415826}">
            <xm:f>OR(Maaned!$D5="pæd.dag")</xm:f>
            <x14:dxf>
              <font>
                <color theme="1"/>
              </font>
              <fill>
                <patternFill>
                  <bgColor theme="7" tint="0.39994506668294322"/>
                </patternFill>
              </fill>
            </x14:dxf>
          </x14:cfRule>
          <x14:cfRule type="expression" priority="135" id="{3282FFA5-E7FF-C44E-BDD5-E3260CA910FA}">
            <xm:f>OR(Maaned!$D5="SH-dag")</xm:f>
            <x14:dxf>
              <font>
                <color theme="1"/>
              </font>
              <fill>
                <patternFill>
                  <bgColor rgb="FFFF2F82"/>
                </patternFill>
              </fill>
            </x14:dxf>
          </x14:cfRule>
          <xm:sqref>A3:D33</xm:sqref>
        </x14:conditionalFormatting>
        <x14:conditionalFormatting xmlns:xm="http://schemas.microsoft.com/office/excel/2006/main">
          <x14:cfRule type="expression" priority="133" id="{077259EC-C35A-AF4C-81A6-6D49EBF5F89B}">
            <xm:f>OR(Maaned!$D5="skoledag")</xm:f>
            <x14:dxf>
              <font>
                <color theme="1"/>
              </font>
              <fill>
                <patternFill patternType="none">
                  <bgColor auto="1"/>
                </patternFill>
              </fill>
            </x14:dxf>
          </x14:cfRule>
          <xm:sqref>A3:D33</xm:sqref>
        </x14:conditionalFormatting>
        <x14:conditionalFormatting xmlns:xm="http://schemas.microsoft.com/office/excel/2006/main">
          <x14:cfRule type="expression" priority="11" id="{89D9A635-C435-6143-81F0-E9D9F1C60EE9}">
            <xm:f>OR(Maaned!$K5="Ikke relevant")</xm:f>
            <x14:dxf>
              <font>
                <color theme="0"/>
              </font>
              <fill>
                <patternFill>
                  <bgColor theme="1"/>
                </patternFill>
              </fill>
            </x14:dxf>
          </x14:cfRule>
          <x14:cfRule type="expression" priority="132" id="{29E09A26-FB0F-0443-B551-BDA241490133}">
            <xm:f>OR(Maaned!$K5="weekend")</xm:f>
            <x14:dxf>
              <font>
                <color theme="1"/>
              </font>
              <fill>
                <patternFill>
                  <bgColor theme="0" tint="-0.14996795556505021"/>
                </patternFill>
              </fill>
            </x14:dxf>
          </x14:cfRule>
          <xm:sqref>E3:H32</xm:sqref>
        </x14:conditionalFormatting>
        <x14:conditionalFormatting xmlns:xm="http://schemas.microsoft.com/office/excel/2006/main">
          <x14:cfRule type="expression" priority="131" id="{D2256339-C701-0B40-90E8-09A22AB6A246}">
            <xm:f>OR(Maaned!$K5="feriedag")</xm:f>
            <x14:dxf>
              <font>
                <color theme="1"/>
              </font>
              <fill>
                <patternFill>
                  <bgColor theme="6" tint="0.39994506668294322"/>
                </patternFill>
              </fill>
            </x14:dxf>
          </x14:cfRule>
          <xm:sqref>E3:H32</xm:sqref>
        </x14:conditionalFormatting>
        <x14:conditionalFormatting xmlns:xm="http://schemas.microsoft.com/office/excel/2006/main">
          <x14:cfRule type="expression" priority="130" id="{F1756DC2-4A57-AE42-BFC0-7ADBC9D513D4}">
            <xm:f>OR(Maaned!$K5="fagdag")</xm:f>
            <x14:dxf>
              <font>
                <color theme="1"/>
              </font>
              <fill>
                <patternFill>
                  <bgColor theme="9" tint="0.59996337778862885"/>
                </patternFill>
              </fill>
            </x14:dxf>
          </x14:cfRule>
          <xm:sqref>E3:H32</xm:sqref>
        </x14:conditionalFormatting>
        <x14:conditionalFormatting xmlns:xm="http://schemas.microsoft.com/office/excel/2006/main">
          <x14:cfRule type="expression" priority="129" id="{A8DC2A39-5DF7-7547-A7CC-5A375AF908F2}">
            <xm:f>OR(Maaned!$K5="emnedag")</xm:f>
            <x14:dxf>
              <font>
                <color theme="1"/>
              </font>
              <fill>
                <patternFill>
                  <bgColor theme="5" tint="0.59996337778862885"/>
                </patternFill>
              </fill>
            </x14:dxf>
          </x14:cfRule>
          <xm:sqref>E3:H32</xm:sqref>
        </x14:conditionalFormatting>
        <x14:conditionalFormatting xmlns:xm="http://schemas.microsoft.com/office/excel/2006/main">
          <x14:cfRule type="expression" priority="126" id="{563E3FF7-B330-AD43-8453-9C8FC24D5AC4}">
            <xm:f>OR(Maaned!$K5="Nul-dag")</xm:f>
            <x14:dxf>
              <font>
                <color theme="1"/>
              </font>
              <fill>
                <patternFill>
                  <bgColor theme="4" tint="0.39994506668294322"/>
                </patternFill>
              </fill>
            </x14:dxf>
          </x14:cfRule>
          <x14:cfRule type="expression" priority="127" id="{DD5D9FAF-05DD-FF44-B52D-E2C9122587FB}">
            <xm:f>OR(Maaned!$K5="ekskursion")</xm:f>
            <x14:dxf>
              <font>
                <color theme="1"/>
              </font>
              <fill>
                <patternFill>
                  <bgColor rgb="FFFFFF00"/>
                </patternFill>
              </fill>
            </x14:dxf>
          </x14:cfRule>
          <x14:cfRule type="expression" priority="128" id="{DD375EBA-8778-7248-B014-1EA8A978E0DD}">
            <xm:f>OR(Maaned!$K5="lejrskole")</xm:f>
            <x14:dxf>
              <font>
                <color theme="1"/>
              </font>
              <fill>
                <patternFill>
                  <bgColor theme="8" tint="0.59996337778862885"/>
                </patternFill>
              </fill>
            </x14:dxf>
          </x14:cfRule>
          <xm:sqref>E3:H32</xm:sqref>
        </x14:conditionalFormatting>
        <x14:conditionalFormatting xmlns:xm="http://schemas.microsoft.com/office/excel/2006/main">
          <x14:cfRule type="expression" priority="124" id="{BBD9580A-7195-8C45-B858-F7A42EA40CFE}">
            <xm:f>OR(Maaned!$K5="pæd.dag")</xm:f>
            <x14:dxf>
              <font>
                <color theme="1"/>
              </font>
              <fill>
                <patternFill>
                  <bgColor theme="7" tint="0.39994506668294322"/>
                </patternFill>
              </fill>
            </x14:dxf>
          </x14:cfRule>
          <x14:cfRule type="expression" priority="125" id="{A4380F4B-771A-9E49-A634-4BF3943CC0CA}">
            <xm:f>OR(Maaned!$K5="SH-dag")</xm:f>
            <x14:dxf>
              <font>
                <color theme="1"/>
              </font>
              <fill>
                <patternFill>
                  <bgColor rgb="FFFF2F82"/>
                </patternFill>
              </fill>
            </x14:dxf>
          </x14:cfRule>
          <xm:sqref>E3:H32</xm:sqref>
        </x14:conditionalFormatting>
        <x14:conditionalFormatting xmlns:xm="http://schemas.microsoft.com/office/excel/2006/main">
          <x14:cfRule type="expression" priority="123" id="{B8F3C9F7-998F-C244-87C3-199A0A4DEFE9}">
            <xm:f>OR(Maaned!$K5="skoledag")</xm:f>
            <x14:dxf>
              <font>
                <color theme="1"/>
              </font>
              <fill>
                <patternFill patternType="none">
                  <bgColor auto="1"/>
                </patternFill>
              </fill>
            </x14:dxf>
          </x14:cfRule>
          <xm:sqref>E3:H32</xm:sqref>
        </x14:conditionalFormatting>
        <x14:conditionalFormatting xmlns:xm="http://schemas.microsoft.com/office/excel/2006/main">
          <x14:cfRule type="expression" priority="10" id="{EC7C1A1C-3AF3-F544-8D07-6D717F350043}">
            <xm:f>OR(Maaned!$R5="Ikke relevant")</xm:f>
            <x14:dxf>
              <font>
                <color theme="0"/>
              </font>
              <fill>
                <patternFill>
                  <bgColor theme="1"/>
                </patternFill>
              </fill>
            </x14:dxf>
          </x14:cfRule>
          <x14:cfRule type="expression" priority="122" id="{E1639A83-F4B8-2845-907E-32FCD6B3CF80}">
            <xm:f>OR(Maaned!$R5="weekend")</xm:f>
            <x14:dxf>
              <font>
                <color theme="1"/>
              </font>
              <fill>
                <patternFill>
                  <bgColor theme="0" tint="-0.14996795556505021"/>
                </patternFill>
              </fill>
            </x14:dxf>
          </x14:cfRule>
          <xm:sqref>I3:L33</xm:sqref>
        </x14:conditionalFormatting>
        <x14:conditionalFormatting xmlns:xm="http://schemas.microsoft.com/office/excel/2006/main">
          <x14:cfRule type="expression" priority="121" id="{FF01C623-7FCE-2348-A4D0-6FF5D07B990D}">
            <xm:f>OR(Maaned!$R5="feriedag")</xm:f>
            <x14:dxf>
              <font>
                <color theme="1"/>
              </font>
              <fill>
                <patternFill>
                  <bgColor theme="6" tint="0.39994506668294322"/>
                </patternFill>
              </fill>
            </x14:dxf>
          </x14:cfRule>
          <xm:sqref>I3:L33</xm:sqref>
        </x14:conditionalFormatting>
        <x14:conditionalFormatting xmlns:xm="http://schemas.microsoft.com/office/excel/2006/main">
          <x14:cfRule type="expression" priority="120" id="{CFD95E66-C484-BA40-AF6D-6B5CEF57C21D}">
            <xm:f>OR(Maaned!$R5="fagdag")</xm:f>
            <x14:dxf>
              <font>
                <color theme="1"/>
              </font>
              <fill>
                <patternFill>
                  <bgColor theme="9" tint="0.59996337778862885"/>
                </patternFill>
              </fill>
            </x14:dxf>
          </x14:cfRule>
          <xm:sqref>I3:L33</xm:sqref>
        </x14:conditionalFormatting>
        <x14:conditionalFormatting xmlns:xm="http://schemas.microsoft.com/office/excel/2006/main">
          <x14:cfRule type="expression" priority="119" id="{FF4978AD-B290-5741-A70F-B60A05D2EB27}">
            <xm:f>OR(Maaned!$R5="emnedag")</xm:f>
            <x14:dxf>
              <font>
                <color theme="1"/>
              </font>
              <fill>
                <patternFill>
                  <bgColor theme="5" tint="0.59996337778862885"/>
                </patternFill>
              </fill>
            </x14:dxf>
          </x14:cfRule>
          <xm:sqref>I3:L33</xm:sqref>
        </x14:conditionalFormatting>
        <x14:conditionalFormatting xmlns:xm="http://schemas.microsoft.com/office/excel/2006/main">
          <x14:cfRule type="expression" priority="116" id="{B4EA3747-3D02-DF40-A295-EC50D6ECE531}">
            <xm:f>OR(Maaned!$R5="Nul-dag")</xm:f>
            <x14:dxf>
              <font>
                <color theme="1"/>
              </font>
              <fill>
                <patternFill>
                  <bgColor theme="4" tint="0.39994506668294322"/>
                </patternFill>
              </fill>
            </x14:dxf>
          </x14:cfRule>
          <x14:cfRule type="expression" priority="117" id="{5A67423B-824F-0046-99A1-26018D7A77A6}">
            <xm:f>OR(Maaned!$R5="ekskursion")</xm:f>
            <x14:dxf>
              <font>
                <color theme="1"/>
              </font>
              <fill>
                <patternFill>
                  <bgColor rgb="FFFFFF00"/>
                </patternFill>
              </fill>
            </x14:dxf>
          </x14:cfRule>
          <x14:cfRule type="expression" priority="118" id="{1678772D-04D0-6F4C-BE47-2D5AB0C3D32A}">
            <xm:f>OR(Maaned!$R5="lejrskole")</xm:f>
            <x14:dxf>
              <font>
                <color theme="1"/>
              </font>
              <fill>
                <patternFill>
                  <bgColor theme="8" tint="0.59996337778862885"/>
                </patternFill>
              </fill>
            </x14:dxf>
          </x14:cfRule>
          <xm:sqref>I3:L33</xm:sqref>
        </x14:conditionalFormatting>
        <x14:conditionalFormatting xmlns:xm="http://schemas.microsoft.com/office/excel/2006/main">
          <x14:cfRule type="expression" priority="114" id="{416C88E3-7C07-1C40-8A6E-EB05DEB1D5C0}">
            <xm:f>OR(Maaned!$R5="pæd.dag")</xm:f>
            <x14:dxf>
              <font>
                <color theme="1"/>
              </font>
              <fill>
                <patternFill>
                  <bgColor theme="7" tint="0.39994506668294322"/>
                </patternFill>
              </fill>
            </x14:dxf>
          </x14:cfRule>
          <x14:cfRule type="expression" priority="115" id="{2C69A2BB-2C8D-524C-B256-3938A3C928BA}">
            <xm:f>OR(Maaned!$R5="SH-dag")</xm:f>
            <x14:dxf>
              <font>
                <color theme="1"/>
              </font>
              <fill>
                <patternFill>
                  <bgColor rgb="FFFF2F82"/>
                </patternFill>
              </fill>
            </x14:dxf>
          </x14:cfRule>
          <xm:sqref>I3:L33</xm:sqref>
        </x14:conditionalFormatting>
        <x14:conditionalFormatting xmlns:xm="http://schemas.microsoft.com/office/excel/2006/main">
          <x14:cfRule type="expression" priority="113" id="{24DFAF16-6739-2442-B2BD-4787F2A1A0BB}">
            <xm:f>OR(Maaned!$R5="skoledag")</xm:f>
            <x14:dxf>
              <font>
                <color theme="1"/>
              </font>
              <fill>
                <patternFill patternType="none">
                  <bgColor auto="1"/>
                </patternFill>
              </fill>
            </x14:dxf>
          </x14:cfRule>
          <xm:sqref>I3:L33</xm:sqref>
        </x14:conditionalFormatting>
        <x14:conditionalFormatting xmlns:xm="http://schemas.microsoft.com/office/excel/2006/main">
          <x14:cfRule type="expression" priority="9" id="{3C3A3E5B-F2DB-794B-8096-B2E084FDD694}">
            <xm:f>OR(Maaned!$Y5="Ikke relevant")</xm:f>
            <x14:dxf>
              <font>
                <color theme="0"/>
              </font>
              <fill>
                <patternFill>
                  <bgColor theme="1"/>
                </patternFill>
              </fill>
            </x14:dxf>
          </x14:cfRule>
          <x14:cfRule type="expression" priority="112" id="{1733BEBF-2A6A-1240-B283-14C17CBC157E}">
            <xm:f>OR(Maaned!$Y5="weekend")</xm:f>
            <x14:dxf>
              <font>
                <color theme="1"/>
              </font>
              <fill>
                <patternFill>
                  <bgColor theme="0" tint="-0.14996795556505021"/>
                </patternFill>
              </fill>
            </x14:dxf>
          </x14:cfRule>
          <xm:sqref>M3:P32</xm:sqref>
        </x14:conditionalFormatting>
        <x14:conditionalFormatting xmlns:xm="http://schemas.microsoft.com/office/excel/2006/main">
          <x14:cfRule type="expression" priority="111" id="{507C5FA8-DA44-A544-9D6D-AB1443CFFB8B}">
            <xm:f>OR(Maaned!$Y5="feriedag")</xm:f>
            <x14:dxf>
              <font>
                <color theme="1"/>
              </font>
              <fill>
                <patternFill>
                  <bgColor theme="6" tint="0.39994506668294322"/>
                </patternFill>
              </fill>
            </x14:dxf>
          </x14:cfRule>
          <xm:sqref>M3:P32</xm:sqref>
        </x14:conditionalFormatting>
        <x14:conditionalFormatting xmlns:xm="http://schemas.microsoft.com/office/excel/2006/main">
          <x14:cfRule type="expression" priority="110" id="{F6B49FAC-4F3E-C642-803B-241976846A77}">
            <xm:f>OR(Maaned!$Y5="fagdag")</xm:f>
            <x14:dxf>
              <font>
                <color theme="1"/>
              </font>
              <fill>
                <patternFill>
                  <bgColor theme="9" tint="0.59996337778862885"/>
                </patternFill>
              </fill>
            </x14:dxf>
          </x14:cfRule>
          <xm:sqref>M3:P32</xm:sqref>
        </x14:conditionalFormatting>
        <x14:conditionalFormatting xmlns:xm="http://schemas.microsoft.com/office/excel/2006/main">
          <x14:cfRule type="expression" priority="109" id="{6715507C-9DD3-2E46-BB7A-3B99CCDBD5A3}">
            <xm:f>OR(Maaned!$Y5="emnedag")</xm:f>
            <x14:dxf>
              <font>
                <color theme="1"/>
              </font>
              <fill>
                <patternFill>
                  <bgColor theme="5" tint="0.59996337778862885"/>
                </patternFill>
              </fill>
            </x14:dxf>
          </x14:cfRule>
          <xm:sqref>M3:P32</xm:sqref>
        </x14:conditionalFormatting>
        <x14:conditionalFormatting xmlns:xm="http://schemas.microsoft.com/office/excel/2006/main">
          <x14:cfRule type="expression" priority="106" id="{ADB29B3B-7DFC-954A-952B-16B2EBBF50F3}">
            <xm:f>OR(Maaned!$Y5="Nul-dag")</xm:f>
            <x14:dxf>
              <font>
                <color theme="1"/>
              </font>
              <fill>
                <patternFill>
                  <bgColor theme="4" tint="0.39994506668294322"/>
                </patternFill>
              </fill>
            </x14:dxf>
          </x14:cfRule>
          <x14:cfRule type="expression" priority="107" id="{2B2CBB1B-5899-C743-B81E-1B77E4EC89F0}">
            <xm:f>OR(Maaned!$Y5="ekskursion")</xm:f>
            <x14:dxf>
              <font>
                <color theme="1"/>
              </font>
              <fill>
                <patternFill>
                  <bgColor rgb="FFFFFF00"/>
                </patternFill>
              </fill>
            </x14:dxf>
          </x14:cfRule>
          <x14:cfRule type="expression" priority="108" id="{EB00411D-3D3E-B14E-9FB0-028C04B8E895}">
            <xm:f>OR(Maaned!$Y5="lejrskole")</xm:f>
            <x14:dxf>
              <font>
                <color theme="1"/>
              </font>
              <fill>
                <patternFill>
                  <bgColor theme="8" tint="0.59996337778862885"/>
                </patternFill>
              </fill>
            </x14:dxf>
          </x14:cfRule>
          <xm:sqref>M3:P32</xm:sqref>
        </x14:conditionalFormatting>
        <x14:conditionalFormatting xmlns:xm="http://schemas.microsoft.com/office/excel/2006/main">
          <x14:cfRule type="expression" priority="104" id="{735BD466-F98F-564F-A01F-8F488CFA3B6A}">
            <xm:f>OR(Maaned!$Y5="pæd.dag")</xm:f>
            <x14:dxf>
              <font>
                <color theme="1"/>
              </font>
              <fill>
                <patternFill>
                  <bgColor theme="7" tint="0.39994506668294322"/>
                </patternFill>
              </fill>
            </x14:dxf>
          </x14:cfRule>
          <x14:cfRule type="expression" priority="105" id="{8D40A667-829F-1048-97C9-0994C9651BB7}">
            <xm:f>OR(Maaned!$Y5="SH-dag")</xm:f>
            <x14:dxf>
              <font>
                <color theme="1"/>
              </font>
              <fill>
                <patternFill>
                  <bgColor rgb="FFFF2F82"/>
                </patternFill>
              </fill>
            </x14:dxf>
          </x14:cfRule>
          <xm:sqref>M3:P32</xm:sqref>
        </x14:conditionalFormatting>
        <x14:conditionalFormatting xmlns:xm="http://schemas.microsoft.com/office/excel/2006/main">
          <x14:cfRule type="expression" priority="103" id="{34B9EFE6-DFDC-D848-A900-090A6E16B7BD}">
            <xm:f>OR(Maaned!$Y5="skoledag")</xm:f>
            <x14:dxf>
              <font>
                <color theme="1"/>
              </font>
              <fill>
                <patternFill patternType="none">
                  <bgColor auto="1"/>
                </patternFill>
              </fill>
            </x14:dxf>
          </x14:cfRule>
          <xm:sqref>M3:P32</xm:sqref>
        </x14:conditionalFormatting>
        <x14:conditionalFormatting xmlns:xm="http://schemas.microsoft.com/office/excel/2006/main">
          <x14:cfRule type="expression" priority="8" id="{405E5FE5-D39A-3344-9D26-9E2F9DB15E52}">
            <xm:f>OR(Maaned!$AF5="Ikke relevant")</xm:f>
            <x14:dxf>
              <font>
                <color theme="0"/>
              </font>
              <fill>
                <patternFill>
                  <bgColor theme="1"/>
                </patternFill>
              </fill>
            </x14:dxf>
          </x14:cfRule>
          <x14:cfRule type="expression" priority="102" id="{F7514658-5343-0949-8ABE-37D3ED0E34E0}">
            <xm:f>OR(Maaned!$AF5="weekend")</xm:f>
            <x14:dxf>
              <font>
                <color theme="1"/>
              </font>
              <fill>
                <patternFill>
                  <bgColor theme="0" tint="-0.14996795556505021"/>
                </patternFill>
              </fill>
            </x14:dxf>
          </x14:cfRule>
          <xm:sqref>Q3:T33</xm:sqref>
        </x14:conditionalFormatting>
        <x14:conditionalFormatting xmlns:xm="http://schemas.microsoft.com/office/excel/2006/main">
          <x14:cfRule type="expression" priority="101" id="{CAC250A0-A36F-E146-86F8-81B47A7641A1}">
            <xm:f>OR(Maaned!$AF5="feriedag")</xm:f>
            <x14:dxf>
              <font>
                <color theme="1"/>
              </font>
              <fill>
                <patternFill>
                  <bgColor theme="6" tint="0.39994506668294322"/>
                </patternFill>
              </fill>
            </x14:dxf>
          </x14:cfRule>
          <xm:sqref>Q3:T33</xm:sqref>
        </x14:conditionalFormatting>
        <x14:conditionalFormatting xmlns:xm="http://schemas.microsoft.com/office/excel/2006/main">
          <x14:cfRule type="expression" priority="100" id="{BABE8628-6A33-0549-9598-A54691F4778E}">
            <xm:f>OR(Maaned!$AF5="fagdag")</xm:f>
            <x14:dxf>
              <font>
                <color theme="1"/>
              </font>
              <fill>
                <patternFill>
                  <bgColor theme="9" tint="0.59996337778862885"/>
                </patternFill>
              </fill>
            </x14:dxf>
          </x14:cfRule>
          <xm:sqref>Q3:T33</xm:sqref>
        </x14:conditionalFormatting>
        <x14:conditionalFormatting xmlns:xm="http://schemas.microsoft.com/office/excel/2006/main">
          <x14:cfRule type="expression" priority="99" id="{5953742D-E53E-4A4D-B732-C7668FE8C524}">
            <xm:f>OR(Maaned!$AF5="emnedag")</xm:f>
            <x14:dxf>
              <font>
                <color theme="1"/>
              </font>
              <fill>
                <patternFill>
                  <bgColor theme="5" tint="0.59996337778862885"/>
                </patternFill>
              </fill>
            </x14:dxf>
          </x14:cfRule>
          <xm:sqref>Q3:T33</xm:sqref>
        </x14:conditionalFormatting>
        <x14:conditionalFormatting xmlns:xm="http://schemas.microsoft.com/office/excel/2006/main">
          <x14:cfRule type="expression" priority="96" id="{F9882835-81C8-A249-A3AA-3D9BBE413360}">
            <xm:f>OR(Maaned!$AF5="Nul-dag")</xm:f>
            <x14:dxf>
              <font>
                <color theme="1"/>
              </font>
              <fill>
                <patternFill>
                  <bgColor theme="4" tint="0.39994506668294322"/>
                </patternFill>
              </fill>
            </x14:dxf>
          </x14:cfRule>
          <x14:cfRule type="expression" priority="97" id="{D8447A37-3A50-0642-9B5F-43C01AFAA06C}">
            <xm:f>OR(Maaned!$AF5="ekskursion")</xm:f>
            <x14:dxf>
              <font>
                <color theme="1"/>
              </font>
              <fill>
                <patternFill>
                  <bgColor rgb="FFFFFF00"/>
                </patternFill>
              </fill>
            </x14:dxf>
          </x14:cfRule>
          <x14:cfRule type="expression" priority="98" id="{B1921E4A-CF0B-4D4D-8487-6E07254F5244}">
            <xm:f>OR(Maaned!$AF5="lejrskole")</xm:f>
            <x14:dxf>
              <font>
                <color theme="1"/>
              </font>
              <fill>
                <patternFill>
                  <bgColor theme="8" tint="0.59996337778862885"/>
                </patternFill>
              </fill>
            </x14:dxf>
          </x14:cfRule>
          <xm:sqref>Q3:T33</xm:sqref>
        </x14:conditionalFormatting>
        <x14:conditionalFormatting xmlns:xm="http://schemas.microsoft.com/office/excel/2006/main">
          <x14:cfRule type="expression" priority="94" id="{5606980E-44C4-6B43-8A7B-9A72C844ACB8}">
            <xm:f>OR(Maaned!$AF5="pæd.dag")</xm:f>
            <x14:dxf>
              <font>
                <color theme="1"/>
              </font>
              <fill>
                <patternFill>
                  <bgColor theme="7" tint="0.39994506668294322"/>
                </patternFill>
              </fill>
            </x14:dxf>
          </x14:cfRule>
          <x14:cfRule type="expression" priority="95" id="{01D47AC0-1680-A64A-BBAC-511097CCF740}">
            <xm:f>OR(Maaned!$AF5="SH-dag")</xm:f>
            <x14:dxf>
              <font>
                <color theme="1"/>
              </font>
              <fill>
                <patternFill>
                  <bgColor rgb="FFFF2F82"/>
                </patternFill>
              </fill>
            </x14:dxf>
          </x14:cfRule>
          <xm:sqref>Q3:T33</xm:sqref>
        </x14:conditionalFormatting>
        <x14:conditionalFormatting xmlns:xm="http://schemas.microsoft.com/office/excel/2006/main">
          <x14:cfRule type="expression" priority="93" id="{D7EB46A5-562B-9640-9009-6529BCEB5A50}">
            <xm:f>OR(Maaned!$AF5="skoledag")</xm:f>
            <x14:dxf>
              <font>
                <color theme="1"/>
              </font>
              <fill>
                <patternFill patternType="none">
                  <bgColor auto="1"/>
                </patternFill>
              </fill>
            </x14:dxf>
          </x14:cfRule>
          <xm:sqref>Q3:T33</xm:sqref>
        </x14:conditionalFormatting>
        <x14:conditionalFormatting xmlns:xm="http://schemas.microsoft.com/office/excel/2006/main">
          <x14:cfRule type="expression" priority="7" id="{79BD02DB-3F90-9142-941C-51992FDF22FD}">
            <xm:f>OR(Maaned!$AM5="Ikke relevant")</xm:f>
            <x14:dxf>
              <font>
                <color theme="0"/>
              </font>
              <fill>
                <patternFill>
                  <bgColor theme="1"/>
                </patternFill>
              </fill>
            </x14:dxf>
          </x14:cfRule>
          <x14:cfRule type="expression" priority="92" id="{F767FC14-4689-1142-A161-0B4FBDE15605}">
            <xm:f>OR(Maaned!$AM5="weekend")</xm:f>
            <x14:dxf>
              <font>
                <color theme="1"/>
              </font>
              <fill>
                <patternFill>
                  <bgColor theme="0" tint="-0.14996795556505021"/>
                </patternFill>
              </fill>
            </x14:dxf>
          </x14:cfRule>
          <xm:sqref>U3:X33</xm:sqref>
        </x14:conditionalFormatting>
        <x14:conditionalFormatting xmlns:xm="http://schemas.microsoft.com/office/excel/2006/main">
          <x14:cfRule type="expression" priority="91" id="{8EF1BF28-7BBA-5344-9A85-C351C2F12A46}">
            <xm:f>OR(Maaned!$AM5="feriedag")</xm:f>
            <x14:dxf>
              <font>
                <color theme="1"/>
              </font>
              <fill>
                <patternFill>
                  <bgColor theme="6" tint="0.39994506668294322"/>
                </patternFill>
              </fill>
            </x14:dxf>
          </x14:cfRule>
          <xm:sqref>U3:X33</xm:sqref>
        </x14:conditionalFormatting>
        <x14:conditionalFormatting xmlns:xm="http://schemas.microsoft.com/office/excel/2006/main">
          <x14:cfRule type="expression" priority="90" id="{D6E1BBEC-187A-244C-BBB5-EA65E4343198}">
            <xm:f>OR(Maaned!$AM5="fagdag")</xm:f>
            <x14:dxf>
              <font>
                <color theme="1"/>
              </font>
              <fill>
                <patternFill>
                  <bgColor theme="9" tint="0.59996337778862885"/>
                </patternFill>
              </fill>
            </x14:dxf>
          </x14:cfRule>
          <xm:sqref>U3:X33</xm:sqref>
        </x14:conditionalFormatting>
        <x14:conditionalFormatting xmlns:xm="http://schemas.microsoft.com/office/excel/2006/main">
          <x14:cfRule type="expression" priority="89" id="{3A7325B9-8392-9847-BD92-5909CF10E04D}">
            <xm:f>OR(Maaned!$AM5="emnedag")</xm:f>
            <x14:dxf>
              <font>
                <color theme="1"/>
              </font>
              <fill>
                <patternFill>
                  <bgColor theme="5" tint="0.59996337778862885"/>
                </patternFill>
              </fill>
            </x14:dxf>
          </x14:cfRule>
          <xm:sqref>U3:X33</xm:sqref>
        </x14:conditionalFormatting>
        <x14:conditionalFormatting xmlns:xm="http://schemas.microsoft.com/office/excel/2006/main">
          <x14:cfRule type="expression" priority="86" id="{3870C082-40B1-B043-BC4C-8FE477158424}">
            <xm:f>OR(Maaned!$AM5="Nul-dag")</xm:f>
            <x14:dxf>
              <font>
                <color theme="1"/>
              </font>
              <fill>
                <patternFill>
                  <bgColor theme="4" tint="0.39994506668294322"/>
                </patternFill>
              </fill>
            </x14:dxf>
          </x14:cfRule>
          <x14:cfRule type="expression" priority="87" id="{6CA16A9C-7F36-5340-BBFD-692044D28D46}">
            <xm:f>OR(Maaned!$AM5="ekskursion")</xm:f>
            <x14:dxf>
              <font>
                <color theme="1"/>
              </font>
              <fill>
                <patternFill>
                  <bgColor rgb="FFFFFF00"/>
                </patternFill>
              </fill>
            </x14:dxf>
          </x14:cfRule>
          <x14:cfRule type="expression" priority="88" id="{3A498EF8-73A9-E345-A69B-D9C2C4E052DD}">
            <xm:f>OR(Maaned!$AM5="lejrskole")</xm:f>
            <x14:dxf>
              <font>
                <color theme="1"/>
              </font>
              <fill>
                <patternFill>
                  <bgColor theme="8" tint="0.59996337778862885"/>
                </patternFill>
              </fill>
            </x14:dxf>
          </x14:cfRule>
          <xm:sqref>U3:X33</xm:sqref>
        </x14:conditionalFormatting>
        <x14:conditionalFormatting xmlns:xm="http://schemas.microsoft.com/office/excel/2006/main">
          <x14:cfRule type="expression" priority="84" id="{4C151E35-BA43-F647-A194-07EFBAAAC1F7}">
            <xm:f>OR(Maaned!$AM5="pæd.dag")</xm:f>
            <x14:dxf>
              <font>
                <color theme="1"/>
              </font>
              <fill>
                <patternFill>
                  <bgColor theme="7" tint="0.39994506668294322"/>
                </patternFill>
              </fill>
            </x14:dxf>
          </x14:cfRule>
          <x14:cfRule type="expression" priority="85" id="{0825D3C6-C540-CA44-B1BB-4198B534F6AD}">
            <xm:f>OR(Maaned!$AM5="SH-dag")</xm:f>
            <x14:dxf>
              <font>
                <color theme="1"/>
              </font>
              <fill>
                <patternFill>
                  <bgColor rgb="FFFF2F82"/>
                </patternFill>
              </fill>
            </x14:dxf>
          </x14:cfRule>
          <xm:sqref>U3:X33</xm:sqref>
        </x14:conditionalFormatting>
        <x14:conditionalFormatting xmlns:xm="http://schemas.microsoft.com/office/excel/2006/main">
          <x14:cfRule type="expression" priority="83" id="{33FCD2AE-0D8F-4847-87C3-61996CB9E16E}">
            <xm:f>OR(Maaned!$AM5="skoledag")</xm:f>
            <x14:dxf>
              <font>
                <color theme="1"/>
              </font>
              <fill>
                <patternFill patternType="none">
                  <bgColor auto="1"/>
                </patternFill>
              </fill>
            </x14:dxf>
          </x14:cfRule>
          <xm:sqref>U3:X33</xm:sqref>
        </x14:conditionalFormatting>
        <x14:conditionalFormatting xmlns:xm="http://schemas.microsoft.com/office/excel/2006/main">
          <x14:cfRule type="expression" priority="6" id="{BC93835C-53A2-BD4E-8ECB-2FEFF77E7184}">
            <xm:f>OR(Maaned!$AT5="Ikke relevant")</xm:f>
            <x14:dxf>
              <font>
                <color theme="0"/>
              </font>
              <fill>
                <patternFill>
                  <bgColor theme="1"/>
                </patternFill>
              </fill>
            </x14:dxf>
          </x14:cfRule>
          <x14:cfRule type="expression" priority="82" id="{D62194EC-DBC3-E643-B356-8455BEEF11CB}">
            <xm:f>OR(Maaned!$AT5="weekend")</xm:f>
            <x14:dxf>
              <font>
                <color theme="1"/>
              </font>
              <fill>
                <patternFill>
                  <bgColor theme="0" tint="-0.14996795556505021"/>
                </patternFill>
              </fill>
            </x14:dxf>
          </x14:cfRule>
          <xm:sqref>Y3:AB31</xm:sqref>
        </x14:conditionalFormatting>
        <x14:conditionalFormatting xmlns:xm="http://schemas.microsoft.com/office/excel/2006/main">
          <x14:cfRule type="expression" priority="81" id="{8D0EF236-2370-BE45-B4BA-78B35CE6FB2A}">
            <xm:f>OR(Maaned!$AT5="feriedag")</xm:f>
            <x14:dxf>
              <font>
                <color theme="1"/>
              </font>
              <fill>
                <patternFill>
                  <bgColor theme="6" tint="0.39994506668294322"/>
                </patternFill>
              </fill>
            </x14:dxf>
          </x14:cfRule>
          <xm:sqref>Y3:AB31</xm:sqref>
        </x14:conditionalFormatting>
        <x14:conditionalFormatting xmlns:xm="http://schemas.microsoft.com/office/excel/2006/main">
          <x14:cfRule type="expression" priority="80" id="{5499E456-6CF2-DF42-BBBE-7C1B22D7FC31}">
            <xm:f>OR(Maaned!$AT5="fagdag")</xm:f>
            <x14:dxf>
              <font>
                <color theme="1"/>
              </font>
              <fill>
                <patternFill>
                  <bgColor theme="9" tint="0.59996337778862885"/>
                </patternFill>
              </fill>
            </x14:dxf>
          </x14:cfRule>
          <xm:sqref>Y3:AB31</xm:sqref>
        </x14:conditionalFormatting>
        <x14:conditionalFormatting xmlns:xm="http://schemas.microsoft.com/office/excel/2006/main">
          <x14:cfRule type="expression" priority="79" id="{D9AC2DC7-F273-124C-BECE-4EDC393AD917}">
            <xm:f>OR(Maaned!$AT5="emnedag")</xm:f>
            <x14:dxf>
              <font>
                <color theme="1"/>
              </font>
              <fill>
                <patternFill>
                  <bgColor theme="5" tint="0.59996337778862885"/>
                </patternFill>
              </fill>
            </x14:dxf>
          </x14:cfRule>
          <xm:sqref>Y3:AB31</xm:sqref>
        </x14:conditionalFormatting>
        <x14:conditionalFormatting xmlns:xm="http://schemas.microsoft.com/office/excel/2006/main">
          <x14:cfRule type="expression" priority="76" id="{691C06F0-DFD2-9946-B801-C89C03ED1F5E}">
            <xm:f>OR(Maaned!$AT5="Nul-dag")</xm:f>
            <x14:dxf>
              <font>
                <color theme="1"/>
              </font>
              <fill>
                <patternFill>
                  <bgColor theme="4" tint="0.39994506668294322"/>
                </patternFill>
              </fill>
            </x14:dxf>
          </x14:cfRule>
          <x14:cfRule type="expression" priority="77" id="{3E32D6B0-C29A-CF46-815A-C4AACE4DD359}">
            <xm:f>OR(Maaned!$AT5="ekskursion")</xm:f>
            <x14:dxf>
              <font>
                <color theme="1"/>
              </font>
              <fill>
                <patternFill>
                  <bgColor rgb="FFFFFF00"/>
                </patternFill>
              </fill>
            </x14:dxf>
          </x14:cfRule>
          <x14:cfRule type="expression" priority="78" id="{BAFC74E7-3387-3F4A-8B08-E025FEC5D4B8}">
            <xm:f>OR(Maaned!$AT5="lejrskole")</xm:f>
            <x14:dxf>
              <font>
                <color theme="1"/>
              </font>
              <fill>
                <patternFill>
                  <bgColor theme="8" tint="0.59996337778862885"/>
                </patternFill>
              </fill>
            </x14:dxf>
          </x14:cfRule>
          <xm:sqref>Y3:AB31</xm:sqref>
        </x14:conditionalFormatting>
        <x14:conditionalFormatting xmlns:xm="http://schemas.microsoft.com/office/excel/2006/main">
          <x14:cfRule type="expression" priority="74" id="{D49DC9CD-3CF9-AA43-B3FA-9A4F4515BF0D}">
            <xm:f>OR(Maaned!$AT5="pæd.dag")</xm:f>
            <x14:dxf>
              <font>
                <color theme="1"/>
              </font>
              <fill>
                <patternFill>
                  <bgColor theme="7" tint="0.39994506668294322"/>
                </patternFill>
              </fill>
            </x14:dxf>
          </x14:cfRule>
          <x14:cfRule type="expression" priority="75" id="{B2971BB6-717E-C445-9A7A-06084A841112}">
            <xm:f>OR(Maaned!$AT5="SH-dag")</xm:f>
            <x14:dxf>
              <font>
                <color theme="1"/>
              </font>
              <fill>
                <patternFill>
                  <bgColor rgb="FFFF2F82"/>
                </patternFill>
              </fill>
            </x14:dxf>
          </x14:cfRule>
          <xm:sqref>Y3:AB31</xm:sqref>
        </x14:conditionalFormatting>
        <x14:conditionalFormatting xmlns:xm="http://schemas.microsoft.com/office/excel/2006/main">
          <x14:cfRule type="expression" priority="73" id="{5905EE0B-1AD8-2447-91F1-31FDDC4F15AB}">
            <xm:f>OR(Maaned!$AT5="skoledag")</xm:f>
            <x14:dxf>
              <font>
                <color theme="1"/>
              </font>
              <fill>
                <patternFill patternType="none">
                  <bgColor auto="1"/>
                </patternFill>
              </fill>
            </x14:dxf>
          </x14:cfRule>
          <xm:sqref>Y3:AB31</xm:sqref>
        </x14:conditionalFormatting>
        <x14:conditionalFormatting xmlns:xm="http://schemas.microsoft.com/office/excel/2006/main">
          <x14:cfRule type="expression" priority="72" id="{F73FC4B8-D7D9-F448-82F2-CE4F398A3033}">
            <xm:f>OR(Maaned!$BA5="weekend")</xm:f>
            <x14:dxf>
              <font>
                <color theme="1"/>
              </font>
              <fill>
                <patternFill>
                  <bgColor theme="0" tint="-0.14996795556505021"/>
                </patternFill>
              </fill>
            </x14:dxf>
          </x14:cfRule>
          <xm:sqref>AC3:AF33 AG3:AJ32</xm:sqref>
        </x14:conditionalFormatting>
        <x14:conditionalFormatting xmlns:xm="http://schemas.microsoft.com/office/excel/2006/main">
          <x14:cfRule type="expression" priority="71" id="{728174B4-8398-1043-9212-555FB92A5288}">
            <xm:f>OR(Maaned!$BA5="feriedag")</xm:f>
            <x14:dxf>
              <font>
                <color theme="1"/>
              </font>
              <fill>
                <patternFill>
                  <bgColor theme="6" tint="0.39994506668294322"/>
                </patternFill>
              </fill>
            </x14:dxf>
          </x14:cfRule>
          <xm:sqref>AC3:AF33 AG3:AJ32</xm:sqref>
        </x14:conditionalFormatting>
        <x14:conditionalFormatting xmlns:xm="http://schemas.microsoft.com/office/excel/2006/main">
          <x14:cfRule type="expression" priority="70" id="{419D5295-56E2-564D-8589-FD298CF1E8FF}">
            <xm:f>OR(Maaned!$BA5="fagdag")</xm:f>
            <x14:dxf>
              <font>
                <color theme="1"/>
              </font>
              <fill>
                <patternFill>
                  <bgColor theme="9" tint="0.59996337778862885"/>
                </patternFill>
              </fill>
            </x14:dxf>
          </x14:cfRule>
          <xm:sqref>AC3:AF33 AG3:AJ32</xm:sqref>
        </x14:conditionalFormatting>
        <x14:conditionalFormatting xmlns:xm="http://schemas.microsoft.com/office/excel/2006/main">
          <x14:cfRule type="expression" priority="69" id="{13A69E29-862C-6C41-BAF0-6C4173EE1798}">
            <xm:f>OR(Maaned!$BA5="emnedag")</xm:f>
            <x14:dxf>
              <font>
                <color theme="1"/>
              </font>
              <fill>
                <patternFill>
                  <bgColor theme="5" tint="0.59996337778862885"/>
                </patternFill>
              </fill>
            </x14:dxf>
          </x14:cfRule>
          <xm:sqref>AC3:AF33 AG3:AJ32</xm:sqref>
        </x14:conditionalFormatting>
        <x14:conditionalFormatting xmlns:xm="http://schemas.microsoft.com/office/excel/2006/main">
          <x14:cfRule type="expression" priority="5" id="{3D1CDA5E-D6C6-EF48-B32D-0C6C446B9E11}">
            <xm:f>OR(Maaned!$BA5="Ikke relevant")</xm:f>
            <x14:dxf>
              <font>
                <color theme="0"/>
              </font>
              <fill>
                <patternFill>
                  <bgColor theme="1"/>
                </patternFill>
              </fill>
            </x14:dxf>
          </x14:cfRule>
          <x14:cfRule type="expression" priority="66" id="{E8F5F397-3C1C-9F4F-B625-0F2718E959E3}">
            <xm:f>OR(Maaned!$BA5="Nul-dag")</xm:f>
            <x14:dxf>
              <font>
                <color theme="1"/>
              </font>
              <fill>
                <patternFill>
                  <bgColor theme="4" tint="0.39994506668294322"/>
                </patternFill>
              </fill>
            </x14:dxf>
          </x14:cfRule>
          <x14:cfRule type="expression" priority="67" id="{05B6B027-6766-6C41-9896-74988A31F448}">
            <xm:f>OR(Maaned!$BA5="ekskursion")</xm:f>
            <x14:dxf>
              <font>
                <color theme="1"/>
              </font>
              <fill>
                <patternFill>
                  <bgColor rgb="FFFFFF00"/>
                </patternFill>
              </fill>
            </x14:dxf>
          </x14:cfRule>
          <x14:cfRule type="expression" priority="68" id="{D58C7885-2316-7946-AF45-3391E8C857A2}">
            <xm:f>OR(Maaned!$BA5="lejrskole")</xm:f>
            <x14:dxf>
              <font>
                <color theme="1"/>
              </font>
              <fill>
                <patternFill>
                  <bgColor theme="8" tint="0.59996337778862885"/>
                </patternFill>
              </fill>
            </x14:dxf>
          </x14:cfRule>
          <xm:sqref>AC3:AF33</xm:sqref>
        </x14:conditionalFormatting>
        <x14:conditionalFormatting xmlns:xm="http://schemas.microsoft.com/office/excel/2006/main">
          <x14:cfRule type="expression" priority="64" id="{7D7DAC9A-D7B8-E241-AD4D-C2943A4ABC4A}">
            <xm:f>OR(Maaned!$BA5="pæd.dag")</xm:f>
            <x14:dxf>
              <font>
                <color theme="1"/>
              </font>
              <fill>
                <patternFill>
                  <bgColor theme="7" tint="0.39994506668294322"/>
                </patternFill>
              </fill>
            </x14:dxf>
          </x14:cfRule>
          <x14:cfRule type="expression" priority="65" id="{37E8FB27-3B1A-D043-9E7D-E9627DFC82B7}">
            <xm:f>OR(Maaned!$BA5="SH-dag")</xm:f>
            <x14:dxf>
              <font>
                <color theme="1"/>
              </font>
              <fill>
                <patternFill>
                  <bgColor rgb="FFFF2F82"/>
                </patternFill>
              </fill>
            </x14:dxf>
          </x14:cfRule>
          <xm:sqref>AC3:AF33 AG3:AJ32</xm:sqref>
        </x14:conditionalFormatting>
        <x14:conditionalFormatting xmlns:xm="http://schemas.microsoft.com/office/excel/2006/main">
          <x14:cfRule type="expression" priority="63" id="{FF336F9D-60DB-A44F-B258-84ED7DE56AEC}">
            <xm:f>OR(Maaned!$BA5="skoledag")</xm:f>
            <x14:dxf>
              <font>
                <color theme="1"/>
              </font>
              <fill>
                <patternFill patternType="none">
                  <bgColor auto="1"/>
                </patternFill>
              </fill>
            </x14:dxf>
          </x14:cfRule>
          <xm:sqref>AC3:AF33 AG3:AJ32</xm:sqref>
        </x14:conditionalFormatting>
        <x14:conditionalFormatting xmlns:xm="http://schemas.microsoft.com/office/excel/2006/main">
          <x14:cfRule type="expression" priority="4" id="{13DCA5D4-CEB4-D246-9413-9A5820048ADC}">
            <xm:f>OR(Maaned!$BH5="Ikke relevant")</xm:f>
            <x14:dxf>
              <font>
                <color theme="0"/>
              </font>
              <fill>
                <patternFill>
                  <bgColor theme="1"/>
                </patternFill>
              </fill>
            </x14:dxf>
          </x14:cfRule>
          <x14:cfRule type="expression" priority="62" id="{AAB8D1BC-3B1E-614C-BBB0-87BFCDBE7B4D}">
            <xm:f>OR(Maaned!$BH5="weekend")</xm:f>
            <x14:dxf>
              <font>
                <color theme="1"/>
              </font>
              <fill>
                <patternFill>
                  <bgColor theme="0" tint="-0.14996795556505021"/>
                </patternFill>
              </fill>
            </x14:dxf>
          </x14:cfRule>
          <xm:sqref>AG3:AJ32</xm:sqref>
        </x14:conditionalFormatting>
        <x14:conditionalFormatting xmlns:xm="http://schemas.microsoft.com/office/excel/2006/main">
          <x14:cfRule type="expression" priority="61" id="{761D4B71-3465-A442-A215-C89783DDA016}">
            <xm:f>OR(Maaned!$BH5="feriedag")</xm:f>
            <x14:dxf>
              <font>
                <color theme="1"/>
              </font>
              <fill>
                <patternFill>
                  <bgColor theme="6" tint="0.39994506668294322"/>
                </patternFill>
              </fill>
            </x14:dxf>
          </x14:cfRule>
          <xm:sqref>AG3:AJ32</xm:sqref>
        </x14:conditionalFormatting>
        <x14:conditionalFormatting xmlns:xm="http://schemas.microsoft.com/office/excel/2006/main">
          <x14:cfRule type="expression" priority="60" id="{EF6AF11E-FAB5-1C49-B57E-165FDACB4B5B}">
            <xm:f>OR(Maaned!$BH5="fagdag")</xm:f>
            <x14:dxf>
              <font>
                <color theme="1"/>
              </font>
              <fill>
                <patternFill>
                  <bgColor theme="9" tint="0.59996337778862885"/>
                </patternFill>
              </fill>
            </x14:dxf>
          </x14:cfRule>
          <xm:sqref>AG3:AJ32</xm:sqref>
        </x14:conditionalFormatting>
        <x14:conditionalFormatting xmlns:xm="http://schemas.microsoft.com/office/excel/2006/main">
          <x14:cfRule type="expression" priority="59" id="{7421CB58-9840-014D-AB84-C4FC129CF84F}">
            <xm:f>OR(Maaned!$BH5="emnedag")</xm:f>
            <x14:dxf>
              <font>
                <color theme="1"/>
              </font>
              <fill>
                <patternFill>
                  <bgColor theme="5" tint="0.59996337778862885"/>
                </patternFill>
              </fill>
            </x14:dxf>
          </x14:cfRule>
          <xm:sqref>AG3:AJ32</xm:sqref>
        </x14:conditionalFormatting>
        <x14:conditionalFormatting xmlns:xm="http://schemas.microsoft.com/office/excel/2006/main">
          <x14:cfRule type="expression" priority="56" id="{81172C6D-B6AD-8644-BFD4-28E3DE5619F6}">
            <xm:f>OR(Maaned!$BA5="Nul-dag")</xm:f>
            <x14:dxf>
              <font>
                <color theme="1"/>
              </font>
              <fill>
                <patternFill>
                  <bgColor theme="4" tint="0.39994506668294322"/>
                </patternFill>
              </fill>
            </x14:dxf>
          </x14:cfRule>
          <x14:cfRule type="expression" priority="57" id="{AE5902CE-96DB-6345-A216-53755131CC2B}">
            <xm:f>OR(Maaned!$BA5="ekskursion")</xm:f>
            <x14:dxf>
              <font>
                <color theme="1"/>
              </font>
              <fill>
                <patternFill>
                  <bgColor rgb="FFFFFF00"/>
                </patternFill>
              </fill>
            </x14:dxf>
          </x14:cfRule>
          <x14:cfRule type="expression" priority="58" id="{12FDCCC9-9F3E-6C47-B480-A973A7D12B1E}">
            <xm:f>OR(Maaned!$BH5="lejrskole")</xm:f>
            <x14:dxf>
              <font>
                <color theme="1"/>
              </font>
              <fill>
                <patternFill>
                  <bgColor theme="8" tint="0.59996337778862885"/>
                </patternFill>
              </fill>
            </x14:dxf>
          </x14:cfRule>
          <xm:sqref>AG3:AJ32</xm:sqref>
        </x14:conditionalFormatting>
        <x14:conditionalFormatting xmlns:xm="http://schemas.microsoft.com/office/excel/2006/main">
          <x14:cfRule type="expression" priority="46" id="{D255C484-02D2-6A46-B595-5C9F3E93F3EE}">
            <xm:f>OR(Maaned!$BH5="Nul-dag")</xm:f>
            <x14:dxf>
              <font>
                <color theme="1"/>
              </font>
              <fill>
                <patternFill>
                  <bgColor theme="4" tint="0.39994506668294322"/>
                </patternFill>
              </fill>
            </x14:dxf>
          </x14:cfRule>
          <x14:cfRule type="expression" priority="47" id="{F139F015-C484-324E-A595-6D81BEADA472}">
            <xm:f>OR(Maaned!$BH5="ekskursion")</xm:f>
            <x14:dxf>
              <font>
                <color theme="1"/>
              </font>
              <fill>
                <patternFill>
                  <bgColor rgb="FFFFFF00"/>
                </patternFill>
              </fill>
            </x14:dxf>
          </x14:cfRule>
          <x14:cfRule type="expression" priority="48" id="{92698B96-4149-E347-BD79-9E80BEEB99D5}">
            <xm:f>OR(Maaned!$BA5="lejrskole")</xm:f>
            <x14:dxf>
              <font>
                <color theme="1"/>
              </font>
              <fill>
                <patternFill>
                  <bgColor theme="8" tint="0.59996337778862885"/>
                </patternFill>
              </fill>
            </x14:dxf>
          </x14:cfRule>
          <xm:sqref>AG3:AJ32</xm:sqref>
        </x14:conditionalFormatting>
        <x14:conditionalFormatting xmlns:xm="http://schemas.microsoft.com/office/excel/2006/main">
          <x14:cfRule type="expression" priority="44" id="{AD78583D-CE68-0144-9F3D-7DE5EE58A184}">
            <xm:f>OR(Maaned!$BH5="pæd.dag")</xm:f>
            <x14:dxf>
              <font>
                <color theme="1"/>
              </font>
              <fill>
                <patternFill>
                  <bgColor theme="7" tint="0.39994506668294322"/>
                </patternFill>
              </fill>
            </x14:dxf>
          </x14:cfRule>
          <x14:cfRule type="expression" priority="45" id="{84F41FFD-929D-B540-826B-84F1B92F10BD}">
            <xm:f>OR(Maaned!$BH5="SH-dag")</xm:f>
            <x14:dxf>
              <font>
                <color theme="1"/>
              </font>
              <fill>
                <patternFill>
                  <bgColor rgb="FFFF2F82"/>
                </patternFill>
              </fill>
            </x14:dxf>
          </x14:cfRule>
          <xm:sqref>AG3:AJ32</xm:sqref>
        </x14:conditionalFormatting>
        <x14:conditionalFormatting xmlns:xm="http://schemas.microsoft.com/office/excel/2006/main">
          <x14:cfRule type="expression" priority="43" id="{B5669EAA-46AA-B442-8C66-BBA754230F3F}">
            <xm:f>OR(Maaned!$BH5="skoledag")</xm:f>
            <x14:dxf>
              <font>
                <color theme="1"/>
              </font>
              <fill>
                <patternFill patternType="none">
                  <bgColor auto="1"/>
                </patternFill>
              </fill>
            </x14:dxf>
          </x14:cfRule>
          <xm:sqref>AG3:AJ32</xm:sqref>
        </x14:conditionalFormatting>
        <x14:conditionalFormatting xmlns:xm="http://schemas.microsoft.com/office/excel/2006/main">
          <x14:cfRule type="expression" priority="3" id="{9F40E627-AFD2-FC4B-80E0-F15C70A29DAE}">
            <xm:f>OR(Maaned!$BO5="Ikke relevant")</xm:f>
            <x14:dxf>
              <font>
                <color theme="0"/>
              </font>
              <fill>
                <patternFill>
                  <bgColor theme="1"/>
                </patternFill>
              </fill>
            </x14:dxf>
          </x14:cfRule>
          <x14:cfRule type="expression" priority="42" id="{7E59330B-96DB-C040-A14A-F1A2B9AB4318}">
            <xm:f>OR(Maaned!$BO5="weekend")</xm:f>
            <x14:dxf>
              <font>
                <color theme="1"/>
              </font>
              <fill>
                <patternFill>
                  <bgColor theme="0" tint="-0.14996795556505021"/>
                </patternFill>
              </fill>
            </x14:dxf>
          </x14:cfRule>
          <xm:sqref>AK3:AN33</xm:sqref>
        </x14:conditionalFormatting>
        <x14:conditionalFormatting xmlns:xm="http://schemas.microsoft.com/office/excel/2006/main">
          <x14:cfRule type="expression" priority="41" id="{24A584C9-FA13-BC4C-A8C5-DF4D17D9AF79}">
            <xm:f>OR(Maaned!$BO5="feriedag")</xm:f>
            <x14:dxf>
              <font>
                <color theme="1"/>
              </font>
              <fill>
                <patternFill>
                  <bgColor theme="6" tint="0.39994506668294322"/>
                </patternFill>
              </fill>
            </x14:dxf>
          </x14:cfRule>
          <xm:sqref>AK3:AN33</xm:sqref>
        </x14:conditionalFormatting>
        <x14:conditionalFormatting xmlns:xm="http://schemas.microsoft.com/office/excel/2006/main">
          <x14:cfRule type="expression" priority="40" id="{B865FFC3-5888-8F4D-9AC2-6B57A380533A}">
            <xm:f>OR(Maaned!$BO5="fagdag")</xm:f>
            <x14:dxf>
              <font>
                <color theme="1"/>
              </font>
              <fill>
                <patternFill>
                  <bgColor theme="9" tint="0.59996337778862885"/>
                </patternFill>
              </fill>
            </x14:dxf>
          </x14:cfRule>
          <xm:sqref>AK3:AN33</xm:sqref>
        </x14:conditionalFormatting>
        <x14:conditionalFormatting xmlns:xm="http://schemas.microsoft.com/office/excel/2006/main">
          <x14:cfRule type="expression" priority="39" id="{ABF8F2CE-D51D-1244-8F14-515B5A35F404}">
            <xm:f>OR(Maaned!$BO5="emnedag")</xm:f>
            <x14:dxf>
              <font>
                <color theme="1"/>
              </font>
              <fill>
                <patternFill>
                  <bgColor theme="5" tint="0.59996337778862885"/>
                </patternFill>
              </fill>
            </x14:dxf>
          </x14:cfRule>
          <xm:sqref>AK3:AN33</xm:sqref>
        </x14:conditionalFormatting>
        <x14:conditionalFormatting xmlns:xm="http://schemas.microsoft.com/office/excel/2006/main">
          <x14:cfRule type="expression" priority="36" id="{A9DCD5EC-6BD7-1A4E-82F4-25BE1B79C7A4}">
            <xm:f>OR(Maaned!$BO5="Nul-dag")</xm:f>
            <x14:dxf>
              <font>
                <color theme="1"/>
              </font>
              <fill>
                <patternFill>
                  <bgColor theme="4" tint="0.39994506668294322"/>
                </patternFill>
              </fill>
            </x14:dxf>
          </x14:cfRule>
          <x14:cfRule type="expression" priority="37" id="{666D0556-E702-2341-A72E-2B9F13E7FC47}">
            <xm:f>OR(Maaned!$BO5="ekskursion")</xm:f>
            <x14:dxf>
              <font>
                <color theme="1"/>
              </font>
              <fill>
                <patternFill>
                  <bgColor rgb="FFFFFF00"/>
                </patternFill>
              </fill>
            </x14:dxf>
          </x14:cfRule>
          <x14:cfRule type="expression" priority="38" id="{82085A1E-7917-F545-8F2E-513CBAD8F553}">
            <xm:f>OR(Maaned!$BO5="lejrskole")</xm:f>
            <x14:dxf>
              <font>
                <color theme="1"/>
              </font>
              <fill>
                <patternFill>
                  <bgColor theme="8" tint="0.59996337778862885"/>
                </patternFill>
              </fill>
            </x14:dxf>
          </x14:cfRule>
          <xm:sqref>AK3:AN33</xm:sqref>
        </x14:conditionalFormatting>
        <x14:conditionalFormatting xmlns:xm="http://schemas.microsoft.com/office/excel/2006/main">
          <x14:cfRule type="expression" priority="34" id="{4CCE6509-99A2-FA48-B709-A287AFDCC9DF}">
            <xm:f>OR(Maaned!$BO5="pæd.dag")</xm:f>
            <x14:dxf>
              <font>
                <color theme="1"/>
              </font>
              <fill>
                <patternFill>
                  <bgColor theme="7" tint="0.39994506668294322"/>
                </patternFill>
              </fill>
            </x14:dxf>
          </x14:cfRule>
          <x14:cfRule type="expression" priority="35" id="{EE91C3FE-C161-E742-80B4-767D59F2B75D}">
            <xm:f>OR(Maaned!$BO5="SH-dag")</xm:f>
            <x14:dxf>
              <font>
                <color theme="1"/>
              </font>
              <fill>
                <patternFill>
                  <bgColor rgb="FFFF2F82"/>
                </patternFill>
              </fill>
            </x14:dxf>
          </x14:cfRule>
          <xm:sqref>AK3:AN33</xm:sqref>
        </x14:conditionalFormatting>
        <x14:conditionalFormatting xmlns:xm="http://schemas.microsoft.com/office/excel/2006/main">
          <x14:cfRule type="expression" priority="33" id="{0DED5A84-E145-8B4F-8BC5-71CD36867E86}">
            <xm:f>OR(Maaned!$BO5="skoledag")</xm:f>
            <x14:dxf>
              <font>
                <color theme="1"/>
              </font>
              <fill>
                <patternFill patternType="none">
                  <bgColor auto="1"/>
                </patternFill>
              </fill>
            </x14:dxf>
          </x14:cfRule>
          <xm:sqref>AK3:AN33</xm:sqref>
        </x14:conditionalFormatting>
        <x14:conditionalFormatting xmlns:xm="http://schemas.microsoft.com/office/excel/2006/main">
          <x14:cfRule type="expression" priority="2" id="{0A1B34DB-0856-5042-814E-734C7A1043A1}">
            <xm:f>OR(Maaned!$BV5="Ikke relevant")</xm:f>
            <x14:dxf>
              <font>
                <color theme="0"/>
              </font>
              <fill>
                <patternFill>
                  <bgColor theme="1"/>
                </patternFill>
              </fill>
            </x14:dxf>
          </x14:cfRule>
          <x14:cfRule type="expression" priority="32" id="{60DDF301-B355-D64D-895B-2BDBE9AD46CB}">
            <xm:f>OR(Maaned!$BV5="weekend")</xm:f>
            <x14:dxf>
              <font>
                <color theme="1"/>
              </font>
              <fill>
                <patternFill>
                  <bgColor theme="0" tint="-0.14996795556505021"/>
                </patternFill>
              </fill>
            </x14:dxf>
          </x14:cfRule>
          <xm:sqref>AO3:AR32</xm:sqref>
        </x14:conditionalFormatting>
        <x14:conditionalFormatting xmlns:xm="http://schemas.microsoft.com/office/excel/2006/main">
          <x14:cfRule type="expression" priority="31" id="{1B5E7828-6741-2143-A1C5-8297B143A2D3}">
            <xm:f>OR(Maaned!$BV5="feriedag")</xm:f>
            <x14:dxf>
              <font>
                <color theme="1"/>
              </font>
              <fill>
                <patternFill>
                  <bgColor theme="6" tint="0.39994506668294322"/>
                </patternFill>
              </fill>
            </x14:dxf>
          </x14:cfRule>
          <xm:sqref>AO3:AR32</xm:sqref>
        </x14:conditionalFormatting>
        <x14:conditionalFormatting xmlns:xm="http://schemas.microsoft.com/office/excel/2006/main">
          <x14:cfRule type="expression" priority="30" id="{1D87371B-0089-B543-B1D8-3016783D4A31}">
            <xm:f>OR(Maaned!$BV5="fagdag")</xm:f>
            <x14:dxf>
              <font>
                <color theme="1"/>
              </font>
              <fill>
                <patternFill>
                  <bgColor theme="9" tint="0.59996337778862885"/>
                </patternFill>
              </fill>
            </x14:dxf>
          </x14:cfRule>
          <xm:sqref>AO3:AR32</xm:sqref>
        </x14:conditionalFormatting>
        <x14:conditionalFormatting xmlns:xm="http://schemas.microsoft.com/office/excel/2006/main">
          <x14:cfRule type="expression" priority="29" id="{3D769FF0-D4BB-2949-BA58-D3FBDD560B74}">
            <xm:f>OR(Maaned!$BV5="emnedag")</xm:f>
            <x14:dxf>
              <font>
                <color theme="1"/>
              </font>
              <fill>
                <patternFill>
                  <bgColor theme="5" tint="0.59996337778862885"/>
                </patternFill>
              </fill>
            </x14:dxf>
          </x14:cfRule>
          <xm:sqref>AO3:AR32</xm:sqref>
        </x14:conditionalFormatting>
        <x14:conditionalFormatting xmlns:xm="http://schemas.microsoft.com/office/excel/2006/main">
          <x14:cfRule type="expression" priority="26" id="{537A0E4E-B81E-4042-9968-1A035F7EEA32}">
            <xm:f>OR(Maaned!$BV5="Nul-dag")</xm:f>
            <x14:dxf>
              <font>
                <color theme="1"/>
              </font>
              <fill>
                <patternFill>
                  <bgColor theme="4" tint="0.39994506668294322"/>
                </patternFill>
              </fill>
            </x14:dxf>
          </x14:cfRule>
          <x14:cfRule type="expression" priority="27" id="{39FBE78A-ECFD-E947-AD99-BF353344C554}">
            <xm:f>OR(Maaned!$BV5="ekskursion")</xm:f>
            <x14:dxf>
              <font>
                <color theme="1"/>
              </font>
              <fill>
                <patternFill>
                  <bgColor rgb="FFFFFF00"/>
                </patternFill>
              </fill>
            </x14:dxf>
          </x14:cfRule>
          <x14:cfRule type="expression" priority="28" id="{DB8EEB9E-E706-F047-91E6-DA12DC040947}">
            <xm:f>OR(Maaned!$BV5="lejrskole")</xm:f>
            <x14:dxf>
              <font>
                <color theme="1"/>
              </font>
              <fill>
                <patternFill>
                  <bgColor theme="8" tint="0.59996337778862885"/>
                </patternFill>
              </fill>
            </x14:dxf>
          </x14:cfRule>
          <xm:sqref>AO3:AR32</xm:sqref>
        </x14:conditionalFormatting>
        <x14:conditionalFormatting xmlns:xm="http://schemas.microsoft.com/office/excel/2006/main">
          <x14:cfRule type="expression" priority="24" id="{4AC4C88E-D6F1-4A4D-A4DC-7907E1DC992F}">
            <xm:f>OR(Maaned!$BV5="pæd.dag")</xm:f>
            <x14:dxf>
              <font>
                <color theme="1"/>
              </font>
              <fill>
                <patternFill>
                  <bgColor theme="7" tint="0.39994506668294322"/>
                </patternFill>
              </fill>
            </x14:dxf>
          </x14:cfRule>
          <x14:cfRule type="expression" priority="25" id="{3A3E5335-1566-8A40-BC4C-F00B268940A5}">
            <xm:f>OR(Maaned!$BV5="SH-dag")</xm:f>
            <x14:dxf>
              <font>
                <color theme="1"/>
              </font>
              <fill>
                <patternFill>
                  <bgColor rgb="FFFF2F82"/>
                </patternFill>
              </fill>
            </x14:dxf>
          </x14:cfRule>
          <xm:sqref>AO3:AR32</xm:sqref>
        </x14:conditionalFormatting>
        <x14:conditionalFormatting xmlns:xm="http://schemas.microsoft.com/office/excel/2006/main">
          <x14:cfRule type="expression" priority="23" id="{B9466E91-588B-1145-B919-736AF6B91180}">
            <xm:f>OR(Maaned!$BV5="skoledag")</xm:f>
            <x14:dxf>
              <font>
                <color theme="1"/>
              </font>
              <fill>
                <patternFill patternType="none">
                  <bgColor auto="1"/>
                </patternFill>
              </fill>
            </x14:dxf>
          </x14:cfRule>
          <xm:sqref>AO3:AR32</xm:sqref>
        </x14:conditionalFormatting>
        <x14:conditionalFormatting xmlns:xm="http://schemas.microsoft.com/office/excel/2006/main">
          <x14:cfRule type="expression" priority="1" id="{EFC9AD81-9D7F-8348-BA4D-22C47AD8259C}">
            <xm:f>OR(Maaned!$CC5="Ikke relevant")</xm:f>
            <x14:dxf>
              <font>
                <color theme="0"/>
              </font>
              <fill>
                <patternFill>
                  <bgColor theme="1"/>
                </patternFill>
              </fill>
            </x14:dxf>
          </x14:cfRule>
          <x14:cfRule type="expression" priority="22" id="{F32BF492-1A71-F04B-81AF-EF80576A4DAE}">
            <xm:f>OR(Maaned!$CC5="weekend")</xm:f>
            <x14:dxf>
              <font>
                <color theme="1"/>
              </font>
              <fill>
                <patternFill>
                  <bgColor theme="0" tint="-0.14996795556505021"/>
                </patternFill>
              </fill>
            </x14:dxf>
          </x14:cfRule>
          <xm:sqref>AS3:AV33</xm:sqref>
        </x14:conditionalFormatting>
        <x14:conditionalFormatting xmlns:xm="http://schemas.microsoft.com/office/excel/2006/main">
          <x14:cfRule type="expression" priority="21" id="{D57FEC54-25BE-0941-AACE-37E91C55E9ED}">
            <xm:f>OR(Maaned!$CC5="feriedag")</xm:f>
            <x14:dxf>
              <font>
                <color theme="1"/>
              </font>
              <fill>
                <patternFill>
                  <bgColor theme="6" tint="0.39994506668294322"/>
                </patternFill>
              </fill>
            </x14:dxf>
          </x14:cfRule>
          <xm:sqref>AS3:AV33</xm:sqref>
        </x14:conditionalFormatting>
        <x14:conditionalFormatting xmlns:xm="http://schemas.microsoft.com/office/excel/2006/main">
          <x14:cfRule type="expression" priority="20" id="{4A50585A-46E7-C14D-A57F-625777D1D131}">
            <xm:f>OR(Maaned!$CC5="fagdag")</xm:f>
            <x14:dxf>
              <font>
                <color theme="1"/>
              </font>
              <fill>
                <patternFill>
                  <bgColor theme="9" tint="0.59996337778862885"/>
                </patternFill>
              </fill>
            </x14:dxf>
          </x14:cfRule>
          <xm:sqref>AS3:AV33</xm:sqref>
        </x14:conditionalFormatting>
        <x14:conditionalFormatting xmlns:xm="http://schemas.microsoft.com/office/excel/2006/main">
          <x14:cfRule type="expression" priority="19" id="{42D5756F-6404-4B4B-B504-983F1E95C4DE}">
            <xm:f>OR(Maaned!$CC5="emnedag")</xm:f>
            <x14:dxf>
              <font>
                <color theme="1"/>
              </font>
              <fill>
                <patternFill>
                  <bgColor theme="5" tint="0.59996337778862885"/>
                </patternFill>
              </fill>
            </x14:dxf>
          </x14:cfRule>
          <xm:sqref>AS3:AV33</xm:sqref>
        </x14:conditionalFormatting>
        <x14:conditionalFormatting xmlns:xm="http://schemas.microsoft.com/office/excel/2006/main">
          <x14:cfRule type="expression" priority="16" id="{8F3DFF6B-F0D6-3B46-9DAA-F8E4498CBBAB}">
            <xm:f>OR(Maaned!$CC5="Nul-dag")</xm:f>
            <x14:dxf>
              <font>
                <color theme="1"/>
              </font>
              <fill>
                <patternFill>
                  <bgColor theme="4" tint="0.39994506668294322"/>
                </patternFill>
              </fill>
            </x14:dxf>
          </x14:cfRule>
          <x14:cfRule type="expression" priority="17" id="{5DA8D5E7-74E3-0A45-813C-E354F9D32CC5}">
            <xm:f>OR(Maaned!$CC5="ekskursion")</xm:f>
            <x14:dxf>
              <font>
                <color theme="1"/>
              </font>
              <fill>
                <patternFill>
                  <bgColor rgb="FFFFFF00"/>
                </patternFill>
              </fill>
            </x14:dxf>
          </x14:cfRule>
          <x14:cfRule type="expression" priority="18" id="{E2BDBC6F-606D-DE49-9FAA-ADECC50DD0C4}">
            <xm:f>OR(Maaned!$CC5="lejrskole")</xm:f>
            <x14:dxf>
              <font>
                <color theme="1"/>
              </font>
              <fill>
                <patternFill>
                  <bgColor theme="8" tint="0.59996337778862885"/>
                </patternFill>
              </fill>
            </x14:dxf>
          </x14:cfRule>
          <xm:sqref>AS3:AV33</xm:sqref>
        </x14:conditionalFormatting>
        <x14:conditionalFormatting xmlns:xm="http://schemas.microsoft.com/office/excel/2006/main">
          <x14:cfRule type="expression" priority="14" id="{F4BC600F-6F50-8540-AA42-28D963EA94BE}">
            <xm:f>OR(Maaned!$CC5="pæd.dag")</xm:f>
            <x14:dxf>
              <font>
                <color theme="1"/>
              </font>
              <fill>
                <patternFill>
                  <bgColor theme="7" tint="0.39994506668294322"/>
                </patternFill>
              </fill>
            </x14:dxf>
          </x14:cfRule>
          <x14:cfRule type="expression" priority="15" id="{E5436F53-31EB-3244-A23B-402691DE6732}">
            <xm:f>OR(Maaned!$CC5="SH-dag")</xm:f>
            <x14:dxf>
              <font>
                <color theme="1"/>
              </font>
              <fill>
                <patternFill>
                  <bgColor rgb="FFFF2F82"/>
                </patternFill>
              </fill>
            </x14:dxf>
          </x14:cfRule>
          <xm:sqref>AS3:AV33</xm:sqref>
        </x14:conditionalFormatting>
        <x14:conditionalFormatting xmlns:xm="http://schemas.microsoft.com/office/excel/2006/main">
          <x14:cfRule type="expression" priority="13" id="{DD788696-EA6F-AA40-9431-565F2EC8467C}">
            <xm:f>OR(Maaned!$CC5="skoledag")</xm:f>
            <x14:dxf>
              <font>
                <color theme="1"/>
              </font>
              <fill>
                <patternFill patternType="none">
                  <bgColor auto="1"/>
                </patternFill>
              </fill>
            </x14:dxf>
          </x14:cfRule>
          <xm:sqref>AS3:AV33</xm:sqref>
        </x14:conditionalFormatting>
      </x14:conditionalFormattings>
    </ex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41"/>
  <sheetViews>
    <sheetView showGridLines="0" zoomScale="80" zoomScaleNormal="80" zoomScalePageLayoutView="80" workbookViewId="0">
      <selection activeCell="N31" sqref="N31"/>
    </sheetView>
  </sheetViews>
  <sheetFormatPr baseColWidth="10" defaultRowHeight="36" customHeight="1"/>
  <cols>
    <col min="1" max="2" width="4.33203125" style="156" customWidth="1"/>
    <col min="3" max="3" width="8.33203125" style="157" customWidth="1"/>
    <col min="4" max="4" width="20.1640625" style="157" customWidth="1"/>
    <col min="5" max="5" width="4" style="155" customWidth="1"/>
    <col min="6" max="7" width="4.33203125" style="156" customWidth="1"/>
    <col min="8" max="8" width="8.33203125" style="157" customWidth="1"/>
    <col min="9" max="9" width="20.1640625" style="157" customWidth="1"/>
    <col min="10" max="10" width="4" style="155" customWidth="1"/>
    <col min="11" max="12" width="4.33203125" style="156" customWidth="1"/>
    <col min="13" max="13" width="8.5" style="157" customWidth="1"/>
    <col min="14" max="14" width="20.1640625" style="157" customWidth="1"/>
    <col min="15" max="15" width="4" style="155" customWidth="1"/>
    <col min="16" max="17" width="4.33203125" style="156" customWidth="1"/>
    <col min="18" max="18" width="8.5" style="157" customWidth="1"/>
    <col min="19" max="19" width="20.1640625" style="157" customWidth="1"/>
    <col min="20" max="20" width="3.5" style="155" customWidth="1"/>
    <col min="21" max="21" width="5.6640625" style="156" customWidth="1"/>
    <col min="22" max="22" width="4.33203125" style="156" customWidth="1"/>
    <col min="23" max="23" width="8.33203125" style="157" customWidth="1"/>
    <col min="24" max="24" width="20.33203125" style="157" customWidth="1"/>
    <col min="25" max="25" width="4" style="155" customWidth="1"/>
    <col min="26" max="27" width="4.33203125" style="156" customWidth="1"/>
    <col min="28" max="28" width="8.5" style="157" customWidth="1"/>
    <col min="29" max="29" width="20.33203125" style="157" customWidth="1"/>
    <col min="30" max="30" width="3.1640625" style="155" customWidth="1"/>
    <col min="31" max="34" width="10.83203125" style="143"/>
    <col min="35" max="35" width="26.6640625" style="143" customWidth="1"/>
    <col min="36" max="16384" width="10.83203125" style="143"/>
  </cols>
  <sheetData>
    <row r="1" spans="1:30" s="134" customFormat="1" ht="36" customHeight="1" thickBot="1">
      <c r="A1" s="307" t="str">
        <f>"ÅRSKALENDER  for  "&amp;UPPER(Maaned!A1)&amp;"  "&amp;Maaned!A3&amp;" - "&amp;TEXT(Maaned!A3-1999,"00")</f>
        <v>ÅRSKALENDER  for  MIN EGEN SKOLE  2019 - 20</v>
      </c>
      <c r="B1" s="129"/>
      <c r="C1" s="130"/>
      <c r="D1" s="130"/>
      <c r="E1" s="131"/>
      <c r="F1" s="132"/>
      <c r="G1" s="129"/>
      <c r="H1" s="130"/>
      <c r="I1" s="130"/>
      <c r="J1" s="131"/>
      <c r="K1" s="132"/>
      <c r="L1" s="129"/>
      <c r="M1" s="130"/>
      <c r="N1" s="130"/>
      <c r="O1" s="131"/>
      <c r="P1" s="132"/>
      <c r="Q1" s="129"/>
      <c r="R1" s="130"/>
      <c r="S1" s="130"/>
      <c r="T1" s="131"/>
      <c r="U1" s="132"/>
      <c r="V1" s="129"/>
      <c r="W1" s="130"/>
      <c r="X1" s="130"/>
      <c r="Y1" s="131"/>
      <c r="Z1" s="132"/>
      <c r="AA1" s="129"/>
      <c r="AB1" s="130"/>
      <c r="AC1" s="130"/>
      <c r="AD1" s="133"/>
    </row>
    <row r="2" spans="1:30" s="141" customFormat="1" ht="23" customHeight="1">
      <c r="A2" s="135" t="s">
        <v>156</v>
      </c>
      <c r="B2" s="136"/>
      <c r="C2" s="137"/>
      <c r="D2" s="137"/>
      <c r="E2" s="138"/>
      <c r="F2" s="135" t="s">
        <v>157</v>
      </c>
      <c r="G2" s="136"/>
      <c r="H2" s="137"/>
      <c r="I2" s="137"/>
      <c r="J2" s="138"/>
      <c r="K2" s="139" t="s">
        <v>158</v>
      </c>
      <c r="L2" s="136"/>
      <c r="M2" s="137"/>
      <c r="N2" s="137"/>
      <c r="O2" s="138"/>
      <c r="P2" s="135" t="s">
        <v>159</v>
      </c>
      <c r="Q2" s="136"/>
      <c r="R2" s="137"/>
      <c r="S2" s="137"/>
      <c r="T2" s="138"/>
      <c r="U2" s="135" t="s">
        <v>160</v>
      </c>
      <c r="V2" s="136"/>
      <c r="W2" s="137"/>
      <c r="X2" s="137"/>
      <c r="Y2" s="138"/>
      <c r="Z2" s="135" t="s">
        <v>161</v>
      </c>
      <c r="AA2" s="136"/>
      <c r="AB2" s="137"/>
      <c r="AC2" s="137"/>
      <c r="AD2" s="140"/>
    </row>
    <row r="3" spans="1:30" ht="23" customHeight="1">
      <c r="A3" s="258">
        <f>Maaned!B5</f>
        <v>1</v>
      </c>
      <c r="B3" s="257" t="str">
        <f>Maaned!C5</f>
        <v>to</v>
      </c>
      <c r="C3" s="267" t="str">
        <f>Maaned!D5</f>
        <v>feriedag</v>
      </c>
      <c r="D3" s="381" t="str">
        <f>IF(Maaned!F5&gt;0,Maaned!F5,"")</f>
        <v>Sommerferie</v>
      </c>
      <c r="E3" s="380" t="str">
        <f>Maaned!E5</f>
        <v/>
      </c>
      <c r="F3" s="258">
        <f>Maaned!I5</f>
        <v>1</v>
      </c>
      <c r="G3" s="257" t="str">
        <f>Maaned!J5</f>
        <v>sø</v>
      </c>
      <c r="H3" s="267" t="str">
        <f>Maaned!K5</f>
        <v>weekend</v>
      </c>
      <c r="I3" s="381" t="str">
        <f>IF(Maaned!M5&gt;0,Maaned!M5,"")</f>
        <v/>
      </c>
      <c r="J3" s="380" t="str">
        <f>Maaned!L5</f>
        <v/>
      </c>
      <c r="K3" s="258">
        <f>Maaned!P5</f>
        <v>1</v>
      </c>
      <c r="L3" s="257" t="str">
        <f>Maaned!Q5</f>
        <v>ti</v>
      </c>
      <c r="M3" s="267" t="str">
        <f>Maaned!R5</f>
        <v>skoledag</v>
      </c>
      <c r="N3" s="384" t="str">
        <f>IF(Maaned!T5&gt;0,Maaned!T5,"")</f>
        <v/>
      </c>
      <c r="O3" s="380" t="str">
        <f>Maaned!S5</f>
        <v/>
      </c>
      <c r="P3" s="258">
        <f>Maaned!W5</f>
        <v>1</v>
      </c>
      <c r="Q3" s="257" t="str">
        <f>Maaned!X5</f>
        <v>fr</v>
      </c>
      <c r="R3" s="267" t="str">
        <f>Maaned!Y5</f>
        <v>skoledag</v>
      </c>
      <c r="S3" s="384" t="str">
        <f>IF(Maaned!AA5&gt;0,Maaned!AA5,"")</f>
        <v/>
      </c>
      <c r="T3" s="380" t="str">
        <f>Maaned!Z5</f>
        <v/>
      </c>
      <c r="U3" s="258">
        <f>Maaned!AD5</f>
        <v>1</v>
      </c>
      <c r="V3" s="257" t="str">
        <f>Maaned!AE5</f>
        <v>sø</v>
      </c>
      <c r="W3" s="267" t="str">
        <f>Maaned!AF5</f>
        <v>weekend</v>
      </c>
      <c r="X3" s="384" t="str">
        <f>IF(Maaned!AH5&gt;0,Maaned!AH5,"")</f>
        <v/>
      </c>
      <c r="Y3" s="380" t="str">
        <f>Maaned!AG5</f>
        <v/>
      </c>
      <c r="Z3" s="258">
        <f>Maaned!AK5</f>
        <v>1</v>
      </c>
      <c r="AA3" s="257" t="str">
        <f>Maaned!AL5</f>
        <v>on</v>
      </c>
      <c r="AB3" s="267" t="str">
        <f>Maaned!AM5</f>
        <v>SH-dag</v>
      </c>
      <c r="AC3" s="384" t="str">
        <f>IF(Maaned!AO5&gt;0,Maaned!AO5,"")</f>
        <v>Nytårsdag</v>
      </c>
      <c r="AD3" s="386" t="str">
        <f>Maaned!AN5</f>
        <v/>
      </c>
    </row>
    <row r="4" spans="1:30" ht="23" customHeight="1">
      <c r="A4" s="258">
        <f>Maaned!B6</f>
        <v>2</v>
      </c>
      <c r="B4" s="257" t="str">
        <f>Maaned!C6</f>
        <v>fr</v>
      </c>
      <c r="C4" s="267" t="str">
        <f>Maaned!D6</f>
        <v>feriedag</v>
      </c>
      <c r="D4" s="382" t="str">
        <f>IF(Maaned!F6&gt;0,Maaned!F6,"")</f>
        <v>Sommerferie</v>
      </c>
      <c r="E4" s="380" t="str">
        <f>Maaned!E6</f>
        <v/>
      </c>
      <c r="F4" s="258">
        <f>Maaned!I6</f>
        <v>2</v>
      </c>
      <c r="G4" s="257" t="str">
        <f>Maaned!J6</f>
        <v>ma</v>
      </c>
      <c r="H4" s="267" t="str">
        <f>Maaned!K6</f>
        <v>skoledag</v>
      </c>
      <c r="I4" s="382" t="str">
        <f>IF(Maaned!M6&gt;0,Maaned!M6,"")</f>
        <v/>
      </c>
      <c r="J4" s="380">
        <f>Maaned!L6</f>
        <v>35.857142857142854</v>
      </c>
      <c r="K4" s="258">
        <f>Maaned!P6</f>
        <v>2</v>
      </c>
      <c r="L4" s="257" t="str">
        <f>Maaned!Q6</f>
        <v>on</v>
      </c>
      <c r="M4" s="267" t="str">
        <f>Maaned!R6</f>
        <v>skoledag</v>
      </c>
      <c r="N4" s="385" t="str">
        <f>IF(Maaned!T6&gt;0,Maaned!T6,"")</f>
        <v/>
      </c>
      <c r="O4" s="380" t="str">
        <f>Maaned!S6</f>
        <v/>
      </c>
      <c r="P4" s="258">
        <f>Maaned!W6</f>
        <v>2</v>
      </c>
      <c r="Q4" s="257" t="str">
        <f>Maaned!X6</f>
        <v>lø</v>
      </c>
      <c r="R4" s="267" t="str">
        <f>Maaned!Y6</f>
        <v>weekend</v>
      </c>
      <c r="S4" s="385" t="str">
        <f>IF(Maaned!AA6&gt;0,Maaned!AA6,"")</f>
        <v/>
      </c>
      <c r="T4" s="380" t="str">
        <f>Maaned!Z6</f>
        <v/>
      </c>
      <c r="U4" s="258">
        <f>Maaned!AD6</f>
        <v>2</v>
      </c>
      <c r="V4" s="257" t="str">
        <f>Maaned!AE6</f>
        <v>ma</v>
      </c>
      <c r="W4" s="267" t="str">
        <f>Maaned!AF6</f>
        <v>skoledag</v>
      </c>
      <c r="X4" s="385" t="str">
        <f>IF(Maaned!AH6&gt;0,Maaned!AH6,"")</f>
        <v/>
      </c>
      <c r="Y4" s="380">
        <f>Maaned!AG6</f>
        <v>48.857142857142854</v>
      </c>
      <c r="Z4" s="258">
        <f>Maaned!AK6</f>
        <v>2</v>
      </c>
      <c r="AA4" s="257" t="str">
        <f>Maaned!AL6</f>
        <v>to</v>
      </c>
      <c r="AB4" s="267" t="str">
        <f>Maaned!AM6</f>
        <v>Nul-dag</v>
      </c>
      <c r="AC4" s="385" t="str">
        <f>IF(Maaned!AO6&gt;0,Maaned!AO6,"")</f>
        <v/>
      </c>
      <c r="AD4" s="387" t="str">
        <f>Maaned!AN6</f>
        <v/>
      </c>
    </row>
    <row r="5" spans="1:30" ht="23" customHeight="1">
      <c r="A5" s="258">
        <f>Maaned!B7</f>
        <v>3</v>
      </c>
      <c r="B5" s="257" t="str">
        <f>Maaned!C7</f>
        <v>lø</v>
      </c>
      <c r="C5" s="267" t="str">
        <f>Maaned!D7</f>
        <v>weekend</v>
      </c>
      <c r="D5" s="382" t="str">
        <f>IF(Maaned!F7&gt;0,Maaned!F7,"")</f>
        <v/>
      </c>
      <c r="E5" s="380" t="str">
        <f>Maaned!E7</f>
        <v/>
      </c>
      <c r="F5" s="258">
        <f>Maaned!I7</f>
        <v>3</v>
      </c>
      <c r="G5" s="257" t="str">
        <f>Maaned!J7</f>
        <v>ti</v>
      </c>
      <c r="H5" s="267" t="str">
        <f>Maaned!K7</f>
        <v>skoledag</v>
      </c>
      <c r="I5" s="382" t="str">
        <f>IF(Maaned!M7&gt;0,Maaned!M7,"")</f>
        <v/>
      </c>
      <c r="J5" s="380" t="str">
        <f>Maaned!L7</f>
        <v/>
      </c>
      <c r="K5" s="258">
        <f>Maaned!P7</f>
        <v>3</v>
      </c>
      <c r="L5" s="257" t="str">
        <f>Maaned!Q7</f>
        <v>to</v>
      </c>
      <c r="M5" s="267" t="str">
        <f>Maaned!R7</f>
        <v>skoledag</v>
      </c>
      <c r="N5" s="385" t="str">
        <f>IF(Maaned!T7&gt;0,Maaned!T7,"")</f>
        <v/>
      </c>
      <c r="O5" s="380" t="str">
        <f>Maaned!S7</f>
        <v/>
      </c>
      <c r="P5" s="258">
        <f>Maaned!W7</f>
        <v>3</v>
      </c>
      <c r="Q5" s="257" t="str">
        <f>Maaned!X7</f>
        <v>sø</v>
      </c>
      <c r="R5" s="267" t="str">
        <f>Maaned!Y7</f>
        <v>weekend</v>
      </c>
      <c r="S5" s="385" t="str">
        <f>IF(Maaned!AA7&gt;0,Maaned!AA7,"")</f>
        <v/>
      </c>
      <c r="T5" s="380" t="str">
        <f>Maaned!Z7</f>
        <v/>
      </c>
      <c r="U5" s="258">
        <f>Maaned!AD7</f>
        <v>3</v>
      </c>
      <c r="V5" s="257" t="str">
        <f>Maaned!AE7</f>
        <v>ti</v>
      </c>
      <c r="W5" s="267" t="str">
        <f>Maaned!AF7</f>
        <v>skoledag</v>
      </c>
      <c r="X5" s="385" t="str">
        <f>IF(Maaned!AH7&gt;0,Maaned!AH7,"")</f>
        <v/>
      </c>
      <c r="Y5" s="380" t="str">
        <f>Maaned!AG7</f>
        <v/>
      </c>
      <c r="Z5" s="258">
        <f>Maaned!AK7</f>
        <v>3</v>
      </c>
      <c r="AA5" s="257" t="str">
        <f>Maaned!AL7</f>
        <v>fr</v>
      </c>
      <c r="AB5" s="267" t="str">
        <f>Maaned!AM7</f>
        <v>Nul-dag</v>
      </c>
      <c r="AC5" s="385" t="str">
        <f>IF(Maaned!AO7&gt;0,Maaned!AO7,"")</f>
        <v/>
      </c>
      <c r="AD5" s="387" t="str">
        <f>Maaned!AN7</f>
        <v/>
      </c>
    </row>
    <row r="6" spans="1:30" ht="23" customHeight="1">
      <c r="A6" s="258">
        <f>Maaned!B8</f>
        <v>4</v>
      </c>
      <c r="B6" s="257" t="str">
        <f>Maaned!C8</f>
        <v>sø</v>
      </c>
      <c r="C6" s="267" t="str">
        <f>Maaned!D8</f>
        <v>weekend</v>
      </c>
      <c r="D6" s="382" t="str">
        <f>IF(Maaned!F8&gt;0,Maaned!F8,"")</f>
        <v/>
      </c>
      <c r="E6" s="380" t="str">
        <f>Maaned!E8</f>
        <v/>
      </c>
      <c r="F6" s="258">
        <f>Maaned!I8</f>
        <v>4</v>
      </c>
      <c r="G6" s="257" t="str">
        <f>Maaned!J8</f>
        <v>on</v>
      </c>
      <c r="H6" s="267" t="str">
        <f>Maaned!K8</f>
        <v>skoledag</v>
      </c>
      <c r="I6" s="382" t="str">
        <f>IF(Maaned!M8&gt;0,Maaned!M8,"")</f>
        <v/>
      </c>
      <c r="J6" s="380" t="str">
        <f>Maaned!L8</f>
        <v/>
      </c>
      <c r="K6" s="258">
        <f>Maaned!P8</f>
        <v>4</v>
      </c>
      <c r="L6" s="257" t="str">
        <f>Maaned!Q8</f>
        <v>fr</v>
      </c>
      <c r="M6" s="267" t="str">
        <f>Maaned!R8</f>
        <v>skoledag</v>
      </c>
      <c r="N6" s="385" t="str">
        <f>IF(Maaned!T8&gt;0,Maaned!T8,"")</f>
        <v/>
      </c>
      <c r="O6" s="380" t="str">
        <f>Maaned!S8</f>
        <v/>
      </c>
      <c r="P6" s="258">
        <f>Maaned!W8</f>
        <v>4</v>
      </c>
      <c r="Q6" s="257" t="str">
        <f>Maaned!X8</f>
        <v>ma</v>
      </c>
      <c r="R6" s="267" t="str">
        <f>Maaned!Y8</f>
        <v>skoledag</v>
      </c>
      <c r="S6" s="385" t="str">
        <f>IF(Maaned!AA8&gt;0,Maaned!AA8,"")</f>
        <v/>
      </c>
      <c r="T6" s="380">
        <f>Maaned!Z8</f>
        <v>44.857142857142854</v>
      </c>
      <c r="U6" s="258">
        <f>Maaned!AD8</f>
        <v>4</v>
      </c>
      <c r="V6" s="257" t="str">
        <f>Maaned!AE8</f>
        <v>on</v>
      </c>
      <c r="W6" s="267" t="str">
        <f>Maaned!AF8</f>
        <v>skoledag</v>
      </c>
      <c r="X6" s="385" t="str">
        <f>IF(Maaned!AH8&gt;0,Maaned!AH8,"")</f>
        <v/>
      </c>
      <c r="Y6" s="380" t="str">
        <f>Maaned!AG8</f>
        <v/>
      </c>
      <c r="Z6" s="258">
        <f>Maaned!AK8</f>
        <v>4</v>
      </c>
      <c r="AA6" s="257" t="str">
        <f>Maaned!AL8</f>
        <v>lø</v>
      </c>
      <c r="AB6" s="267" t="str">
        <f>Maaned!AM8</f>
        <v>weekend</v>
      </c>
      <c r="AC6" s="385" t="str">
        <f>IF(Maaned!AO8&gt;0,Maaned!AO8,"")</f>
        <v/>
      </c>
      <c r="AD6" s="387" t="str">
        <f>Maaned!AN8</f>
        <v/>
      </c>
    </row>
    <row r="7" spans="1:30" ht="23" customHeight="1">
      <c r="A7" s="258">
        <f>Maaned!B9</f>
        <v>5</v>
      </c>
      <c r="B7" s="257" t="str">
        <f>Maaned!C9</f>
        <v>ma</v>
      </c>
      <c r="C7" s="267" t="str">
        <f>Maaned!D9</f>
        <v>feriedag</v>
      </c>
      <c r="D7" s="382" t="str">
        <f>IF(Maaned!F9&gt;0,Maaned!F9,"")</f>
        <v>Sommerferie</v>
      </c>
      <c r="E7" s="380">
        <f>Maaned!E9</f>
        <v>31.857142857142858</v>
      </c>
      <c r="F7" s="258">
        <f>Maaned!I9</f>
        <v>5</v>
      </c>
      <c r="G7" s="257" t="str">
        <f>Maaned!J9</f>
        <v>to</v>
      </c>
      <c r="H7" s="267" t="str">
        <f>Maaned!K9</f>
        <v>skoledag</v>
      </c>
      <c r="I7" s="382" t="str">
        <f>IF(Maaned!M9&gt;0,Maaned!M9,"")</f>
        <v/>
      </c>
      <c r="J7" s="380" t="str">
        <f>Maaned!L9</f>
        <v/>
      </c>
      <c r="K7" s="258">
        <f>Maaned!P9</f>
        <v>5</v>
      </c>
      <c r="L7" s="257" t="str">
        <f>Maaned!Q9</f>
        <v>lø</v>
      </c>
      <c r="M7" s="267" t="str">
        <f>Maaned!R9</f>
        <v>weekend</v>
      </c>
      <c r="N7" s="385" t="str">
        <f>IF(Maaned!T9&gt;0,Maaned!T9,"")</f>
        <v/>
      </c>
      <c r="O7" s="380" t="str">
        <f>Maaned!S9</f>
        <v/>
      </c>
      <c r="P7" s="258">
        <f>Maaned!W9</f>
        <v>5</v>
      </c>
      <c r="Q7" s="257" t="str">
        <f>Maaned!X9</f>
        <v>ti</v>
      </c>
      <c r="R7" s="267" t="str">
        <f>Maaned!Y9</f>
        <v>skoledag</v>
      </c>
      <c r="S7" s="385" t="str">
        <f>IF(Maaned!AA9&gt;0,Maaned!AA9,"")</f>
        <v/>
      </c>
      <c r="T7" s="380" t="str">
        <f>Maaned!Z9</f>
        <v/>
      </c>
      <c r="U7" s="258">
        <f>Maaned!AD9</f>
        <v>5</v>
      </c>
      <c r="V7" s="257" t="str">
        <f>Maaned!AE9</f>
        <v>to</v>
      </c>
      <c r="W7" s="267" t="str">
        <f>Maaned!AF9</f>
        <v>skoledag</v>
      </c>
      <c r="X7" s="385" t="str">
        <f>IF(Maaned!AH9&gt;0,Maaned!AH9,"")</f>
        <v/>
      </c>
      <c r="Y7" s="380" t="str">
        <f>Maaned!AG9</f>
        <v/>
      </c>
      <c r="Z7" s="258">
        <f>Maaned!AK9</f>
        <v>5</v>
      </c>
      <c r="AA7" s="257" t="str">
        <f>Maaned!AL9</f>
        <v>sø</v>
      </c>
      <c r="AB7" s="267" t="str">
        <f>Maaned!AM9</f>
        <v>weekend</v>
      </c>
      <c r="AC7" s="385" t="str">
        <f>IF(Maaned!AO9&gt;0,Maaned!AO9,"")</f>
        <v/>
      </c>
      <c r="AD7" s="387" t="str">
        <f>Maaned!AN9</f>
        <v/>
      </c>
    </row>
    <row r="8" spans="1:30" ht="23" customHeight="1">
      <c r="A8" s="258">
        <f>Maaned!B10</f>
        <v>6</v>
      </c>
      <c r="B8" s="257" t="str">
        <f>Maaned!C10</f>
        <v>ti</v>
      </c>
      <c r="C8" s="267" t="str">
        <f>Maaned!D10</f>
        <v>feriedag</v>
      </c>
      <c r="D8" s="382" t="str">
        <f>IF(Maaned!F10&gt;0,Maaned!F10,"")</f>
        <v>Sommerferie</v>
      </c>
      <c r="E8" s="380" t="str">
        <f>Maaned!E10</f>
        <v/>
      </c>
      <c r="F8" s="258">
        <f>Maaned!I10</f>
        <v>6</v>
      </c>
      <c r="G8" s="257" t="str">
        <f>Maaned!J10</f>
        <v>fr</v>
      </c>
      <c r="H8" s="267" t="str">
        <f>Maaned!K10</f>
        <v>skoledag</v>
      </c>
      <c r="I8" s="382" t="str">
        <f>IF(Maaned!M10&gt;0,Maaned!M10,"")</f>
        <v/>
      </c>
      <c r="J8" s="380" t="str">
        <f>Maaned!L10</f>
        <v/>
      </c>
      <c r="K8" s="258">
        <f>Maaned!P10</f>
        <v>6</v>
      </c>
      <c r="L8" s="257" t="str">
        <f>Maaned!Q10</f>
        <v>sø</v>
      </c>
      <c r="M8" s="267" t="str">
        <f>Maaned!R10</f>
        <v>weekend</v>
      </c>
      <c r="N8" s="385" t="str">
        <f>IF(Maaned!T10&gt;0,Maaned!T10,"")</f>
        <v/>
      </c>
      <c r="O8" s="380" t="str">
        <f>Maaned!S10</f>
        <v/>
      </c>
      <c r="P8" s="258">
        <f>Maaned!W10</f>
        <v>6</v>
      </c>
      <c r="Q8" s="257" t="str">
        <f>Maaned!X10</f>
        <v>on</v>
      </c>
      <c r="R8" s="267" t="str">
        <f>Maaned!Y10</f>
        <v>skoledag</v>
      </c>
      <c r="S8" s="385" t="str">
        <f>IF(Maaned!AA10&gt;0,Maaned!AA10,"")</f>
        <v/>
      </c>
      <c r="T8" s="380" t="str">
        <f>Maaned!Z10</f>
        <v/>
      </c>
      <c r="U8" s="258">
        <f>Maaned!AD10</f>
        <v>6</v>
      </c>
      <c r="V8" s="257" t="str">
        <f>Maaned!AE10</f>
        <v>fr</v>
      </c>
      <c r="W8" s="267" t="str">
        <f>Maaned!AF10</f>
        <v>skoledag</v>
      </c>
      <c r="X8" s="385" t="str">
        <f>IF(Maaned!AH10&gt;0,Maaned!AH10,"")</f>
        <v/>
      </c>
      <c r="Y8" s="380" t="str">
        <f>Maaned!AG10</f>
        <v/>
      </c>
      <c r="Z8" s="258">
        <f>Maaned!AK10</f>
        <v>6</v>
      </c>
      <c r="AA8" s="257" t="str">
        <f>Maaned!AL10</f>
        <v>ma</v>
      </c>
      <c r="AB8" s="267" t="str">
        <f>Maaned!AM10</f>
        <v>skoledag</v>
      </c>
      <c r="AC8" s="385" t="str">
        <f>IF(Maaned!AO10&gt;0,Maaned!AO10,"")</f>
        <v/>
      </c>
      <c r="AD8" s="387">
        <f>Maaned!AN10</f>
        <v>1.7142857142857142</v>
      </c>
    </row>
    <row r="9" spans="1:30" ht="23" customHeight="1">
      <c r="A9" s="258">
        <f>Maaned!B11</f>
        <v>7</v>
      </c>
      <c r="B9" s="257" t="str">
        <f>Maaned!C11</f>
        <v>on</v>
      </c>
      <c r="C9" s="267" t="str">
        <f>Maaned!D11</f>
        <v>feriedag</v>
      </c>
      <c r="D9" s="382" t="str">
        <f>IF(Maaned!F11&gt;0,Maaned!F11,"")</f>
        <v>Sommerferie</v>
      </c>
      <c r="E9" s="380" t="str">
        <f>Maaned!E11</f>
        <v/>
      </c>
      <c r="F9" s="258">
        <f>Maaned!I11</f>
        <v>7</v>
      </c>
      <c r="G9" s="257" t="str">
        <f>Maaned!J11</f>
        <v>lø</v>
      </c>
      <c r="H9" s="267" t="str">
        <f>Maaned!K11</f>
        <v>weekend</v>
      </c>
      <c r="I9" s="382" t="str">
        <f>IF(Maaned!M11&gt;0,Maaned!M11,"")</f>
        <v/>
      </c>
      <c r="J9" s="380" t="str">
        <f>Maaned!L11</f>
        <v/>
      </c>
      <c r="K9" s="258">
        <f>Maaned!P11</f>
        <v>7</v>
      </c>
      <c r="L9" s="257" t="str">
        <f>Maaned!Q11</f>
        <v>ma</v>
      </c>
      <c r="M9" s="267" t="str">
        <f>Maaned!R11</f>
        <v>skoledag</v>
      </c>
      <c r="N9" s="385" t="str">
        <f>IF(Maaned!T11&gt;0,Maaned!T11,"")</f>
        <v/>
      </c>
      <c r="O9" s="380">
        <f>Maaned!S11</f>
        <v>40.857142857142854</v>
      </c>
      <c r="P9" s="258">
        <f>Maaned!W11</f>
        <v>7</v>
      </c>
      <c r="Q9" s="257" t="str">
        <f>Maaned!X11</f>
        <v>to</v>
      </c>
      <c r="R9" s="267" t="str">
        <f>Maaned!Y11</f>
        <v>skoledag</v>
      </c>
      <c r="S9" s="385" t="str">
        <f>IF(Maaned!AA11&gt;0,Maaned!AA11,"")</f>
        <v/>
      </c>
      <c r="T9" s="380" t="str">
        <f>Maaned!Z11</f>
        <v/>
      </c>
      <c r="U9" s="258">
        <f>Maaned!AD11</f>
        <v>7</v>
      </c>
      <c r="V9" s="257" t="str">
        <f>Maaned!AE11</f>
        <v>lø</v>
      </c>
      <c r="W9" s="267" t="str">
        <f>Maaned!AF11</f>
        <v>weekend</v>
      </c>
      <c r="X9" s="385" t="str">
        <f>IF(Maaned!AH11&gt;0,Maaned!AH11,"")</f>
        <v/>
      </c>
      <c r="Y9" s="380" t="str">
        <f>Maaned!AG11</f>
        <v/>
      </c>
      <c r="Z9" s="258">
        <f>Maaned!AK11</f>
        <v>7</v>
      </c>
      <c r="AA9" s="257" t="str">
        <f>Maaned!AL11</f>
        <v>ti</v>
      </c>
      <c r="AB9" s="267" t="str">
        <f>Maaned!AM11</f>
        <v>skoledag</v>
      </c>
      <c r="AC9" s="385" t="str">
        <f>IF(Maaned!AO11&gt;0,Maaned!AO11,"")</f>
        <v/>
      </c>
      <c r="AD9" s="387" t="str">
        <f>Maaned!AN11</f>
        <v/>
      </c>
    </row>
    <row r="10" spans="1:30" ht="23" customHeight="1">
      <c r="A10" s="258">
        <f>Maaned!B12</f>
        <v>8</v>
      </c>
      <c r="B10" s="257" t="str">
        <f>Maaned!C12</f>
        <v>to</v>
      </c>
      <c r="C10" s="267" t="str">
        <f>Maaned!D12</f>
        <v>Nul-dag</v>
      </c>
      <c r="D10" s="382" t="str">
        <f>IF(Maaned!F12&gt;0,Maaned!F12,"")</f>
        <v/>
      </c>
      <c r="E10" s="380" t="str">
        <f>Maaned!E12</f>
        <v/>
      </c>
      <c r="F10" s="258">
        <f>Maaned!I12</f>
        <v>8</v>
      </c>
      <c r="G10" s="257" t="str">
        <f>Maaned!J12</f>
        <v>sø</v>
      </c>
      <c r="H10" s="267" t="str">
        <f>Maaned!K12</f>
        <v>weekend</v>
      </c>
      <c r="I10" s="382" t="str">
        <f>IF(Maaned!M12&gt;0,Maaned!M12,"")</f>
        <v/>
      </c>
      <c r="J10" s="380" t="str">
        <f>Maaned!L12</f>
        <v/>
      </c>
      <c r="K10" s="258">
        <f>Maaned!P12</f>
        <v>8</v>
      </c>
      <c r="L10" s="257" t="str">
        <f>Maaned!Q12</f>
        <v>ti</v>
      </c>
      <c r="M10" s="267" t="str">
        <f>Maaned!R12</f>
        <v>skoledag</v>
      </c>
      <c r="N10" s="385" t="str">
        <f>IF(Maaned!T12&gt;0,Maaned!T12,"")</f>
        <v/>
      </c>
      <c r="O10" s="380" t="str">
        <f>Maaned!S12</f>
        <v/>
      </c>
      <c r="P10" s="258">
        <f>Maaned!W12</f>
        <v>8</v>
      </c>
      <c r="Q10" s="257" t="str">
        <f>Maaned!X12</f>
        <v>fr</v>
      </c>
      <c r="R10" s="267" t="str">
        <f>Maaned!Y12</f>
        <v>skoledag</v>
      </c>
      <c r="S10" s="385" t="str">
        <f>IF(Maaned!AA12&gt;0,Maaned!AA12,"")</f>
        <v/>
      </c>
      <c r="T10" s="380" t="str">
        <f>Maaned!Z12</f>
        <v/>
      </c>
      <c r="U10" s="258">
        <f>Maaned!AD12</f>
        <v>8</v>
      </c>
      <c r="V10" s="257" t="str">
        <f>Maaned!AE12</f>
        <v>sø</v>
      </c>
      <c r="W10" s="267" t="str">
        <f>Maaned!AF12</f>
        <v>weekend</v>
      </c>
      <c r="X10" s="385" t="str">
        <f>IF(Maaned!AH12&gt;0,Maaned!AH12,"")</f>
        <v/>
      </c>
      <c r="Y10" s="380" t="str">
        <f>Maaned!AG12</f>
        <v/>
      </c>
      <c r="Z10" s="258">
        <f>Maaned!AK12</f>
        <v>8</v>
      </c>
      <c r="AA10" s="257" t="str">
        <f>Maaned!AL12</f>
        <v>on</v>
      </c>
      <c r="AB10" s="267" t="str">
        <f>Maaned!AM12</f>
        <v>skoledag</v>
      </c>
      <c r="AC10" s="385" t="str">
        <f>IF(Maaned!AO12&gt;0,Maaned!AO12,"")</f>
        <v/>
      </c>
      <c r="AD10" s="387" t="str">
        <f>Maaned!AN12</f>
        <v/>
      </c>
    </row>
    <row r="11" spans="1:30" ht="23" customHeight="1">
      <c r="A11" s="258">
        <f>Maaned!B13</f>
        <v>9</v>
      </c>
      <c r="B11" s="257" t="str">
        <f>Maaned!C13</f>
        <v>fr</v>
      </c>
      <c r="C11" s="267" t="str">
        <f>Maaned!D13</f>
        <v>Nul-dag</v>
      </c>
      <c r="D11" s="382" t="str">
        <f>IF(Maaned!F13&gt;0,Maaned!F13,"")</f>
        <v/>
      </c>
      <c r="E11" s="380" t="str">
        <f>Maaned!E13</f>
        <v/>
      </c>
      <c r="F11" s="258">
        <f>Maaned!I13</f>
        <v>9</v>
      </c>
      <c r="G11" s="257" t="str">
        <f>Maaned!J13</f>
        <v>ma</v>
      </c>
      <c r="H11" s="267" t="str">
        <f>Maaned!K13</f>
        <v>skoledag</v>
      </c>
      <c r="I11" s="382" t="str">
        <f>IF(Maaned!M13&gt;0,Maaned!M13,"")</f>
        <v/>
      </c>
      <c r="J11" s="380">
        <f>Maaned!L13</f>
        <v>36.857142857142854</v>
      </c>
      <c r="K11" s="258">
        <f>Maaned!P13</f>
        <v>9</v>
      </c>
      <c r="L11" s="257" t="str">
        <f>Maaned!Q13</f>
        <v>on</v>
      </c>
      <c r="M11" s="267" t="str">
        <f>Maaned!R13</f>
        <v>skoledag</v>
      </c>
      <c r="N11" s="385" t="str">
        <f>IF(Maaned!T13&gt;0,Maaned!T13,"")</f>
        <v/>
      </c>
      <c r="O11" s="380" t="str">
        <f>Maaned!S13</f>
        <v/>
      </c>
      <c r="P11" s="258">
        <f>Maaned!W13</f>
        <v>9</v>
      </c>
      <c r="Q11" s="257" t="str">
        <f>Maaned!X13</f>
        <v>lø</v>
      </c>
      <c r="R11" s="267" t="str">
        <f>Maaned!Y13</f>
        <v>weekend</v>
      </c>
      <c r="S11" s="385" t="str">
        <f>IF(Maaned!AA13&gt;0,Maaned!AA13,"")</f>
        <v/>
      </c>
      <c r="T11" s="380" t="str">
        <f>Maaned!Z13</f>
        <v/>
      </c>
      <c r="U11" s="258">
        <f>Maaned!AD13</f>
        <v>9</v>
      </c>
      <c r="V11" s="257" t="str">
        <f>Maaned!AE13</f>
        <v>ma</v>
      </c>
      <c r="W11" s="267" t="str">
        <f>Maaned!AF13</f>
        <v>skoledag</v>
      </c>
      <c r="X11" s="385" t="str">
        <f>IF(Maaned!AH13&gt;0,Maaned!AH13,"")</f>
        <v/>
      </c>
      <c r="Y11" s="380">
        <f>Maaned!AG13</f>
        <v>49.857142857142854</v>
      </c>
      <c r="Z11" s="258">
        <f>Maaned!AK13</f>
        <v>9</v>
      </c>
      <c r="AA11" s="257" t="str">
        <f>Maaned!AL13</f>
        <v>to</v>
      </c>
      <c r="AB11" s="267" t="str">
        <f>Maaned!AM13</f>
        <v>skoledag</v>
      </c>
      <c r="AC11" s="385" t="str">
        <f>IF(Maaned!AO13&gt;0,Maaned!AO13,"")</f>
        <v/>
      </c>
      <c r="AD11" s="387" t="str">
        <f>Maaned!AN13</f>
        <v/>
      </c>
    </row>
    <row r="12" spans="1:30" ht="23" customHeight="1">
      <c r="A12" s="258">
        <f>Maaned!B14</f>
        <v>10</v>
      </c>
      <c r="B12" s="257" t="str">
        <f>Maaned!C14</f>
        <v>lø</v>
      </c>
      <c r="C12" s="267" t="str">
        <f>Maaned!D14</f>
        <v>weekend</v>
      </c>
      <c r="D12" s="382" t="str">
        <f>IF(Maaned!F14&gt;0,Maaned!F14,"")</f>
        <v/>
      </c>
      <c r="E12" s="380" t="str">
        <f>Maaned!E14</f>
        <v/>
      </c>
      <c r="F12" s="258">
        <f>Maaned!I14</f>
        <v>10</v>
      </c>
      <c r="G12" s="257" t="str">
        <f>Maaned!J14</f>
        <v>ti</v>
      </c>
      <c r="H12" s="267" t="str">
        <f>Maaned!K14</f>
        <v>skoledag</v>
      </c>
      <c r="I12" s="382" t="str">
        <f>IF(Maaned!M14&gt;0,Maaned!M14,"")</f>
        <v/>
      </c>
      <c r="J12" s="380" t="str">
        <f>Maaned!L14</f>
        <v/>
      </c>
      <c r="K12" s="258">
        <f>Maaned!P14</f>
        <v>10</v>
      </c>
      <c r="L12" s="257" t="str">
        <f>Maaned!Q14</f>
        <v>to</v>
      </c>
      <c r="M12" s="267" t="str">
        <f>Maaned!R14</f>
        <v>skoledag</v>
      </c>
      <c r="N12" s="385" t="str">
        <f>IF(Maaned!T14&gt;0,Maaned!T14,"")</f>
        <v/>
      </c>
      <c r="O12" s="380" t="str">
        <f>Maaned!S14</f>
        <v/>
      </c>
      <c r="P12" s="258">
        <f>Maaned!W14</f>
        <v>10</v>
      </c>
      <c r="Q12" s="257" t="str">
        <f>Maaned!X14</f>
        <v>sø</v>
      </c>
      <c r="R12" s="267" t="str">
        <f>Maaned!Y14</f>
        <v>weekend</v>
      </c>
      <c r="S12" s="385" t="str">
        <f>IF(Maaned!AA14&gt;0,Maaned!AA14,"")</f>
        <v/>
      </c>
      <c r="T12" s="380" t="str">
        <f>Maaned!Z14</f>
        <v/>
      </c>
      <c r="U12" s="258">
        <f>Maaned!AD14</f>
        <v>10</v>
      </c>
      <c r="V12" s="257" t="str">
        <f>Maaned!AE14</f>
        <v>ti</v>
      </c>
      <c r="W12" s="267" t="str">
        <f>Maaned!AF14</f>
        <v>skoledag</v>
      </c>
      <c r="X12" s="385" t="str">
        <f>IF(Maaned!AH14&gt;0,Maaned!AH14,"")</f>
        <v/>
      </c>
      <c r="Y12" s="380" t="str">
        <f>Maaned!AG14</f>
        <v/>
      </c>
      <c r="Z12" s="258">
        <f>Maaned!AK14</f>
        <v>10</v>
      </c>
      <c r="AA12" s="257" t="str">
        <f>Maaned!AL14</f>
        <v>fr</v>
      </c>
      <c r="AB12" s="267" t="str">
        <f>Maaned!AM14</f>
        <v>skoledag</v>
      </c>
      <c r="AC12" s="385" t="str">
        <f>IF(Maaned!AO14&gt;0,Maaned!AO14,"")</f>
        <v/>
      </c>
      <c r="AD12" s="387" t="str">
        <f>Maaned!AN14</f>
        <v/>
      </c>
    </row>
    <row r="13" spans="1:30" ht="23" customHeight="1">
      <c r="A13" s="258">
        <f>Maaned!B15</f>
        <v>11</v>
      </c>
      <c r="B13" s="257" t="str">
        <f>Maaned!C15</f>
        <v>sø</v>
      </c>
      <c r="C13" s="267" t="str">
        <f>Maaned!D15</f>
        <v>weekend</v>
      </c>
      <c r="D13" s="382" t="str">
        <f>IF(Maaned!F15&gt;0,Maaned!F15,"")</f>
        <v/>
      </c>
      <c r="E13" s="380" t="str">
        <f>Maaned!E15</f>
        <v/>
      </c>
      <c r="F13" s="258">
        <f>Maaned!I15</f>
        <v>11</v>
      </c>
      <c r="G13" s="257" t="str">
        <f>Maaned!J15</f>
        <v>on</v>
      </c>
      <c r="H13" s="267" t="str">
        <f>Maaned!K15</f>
        <v>skoledag</v>
      </c>
      <c r="I13" s="382" t="str">
        <f>IF(Maaned!M15&gt;0,Maaned!M15,"")</f>
        <v/>
      </c>
      <c r="J13" s="380" t="str">
        <f>Maaned!L15</f>
        <v/>
      </c>
      <c r="K13" s="258">
        <f>Maaned!P15</f>
        <v>11</v>
      </c>
      <c r="L13" s="257" t="str">
        <f>Maaned!Q15</f>
        <v>fr</v>
      </c>
      <c r="M13" s="267" t="str">
        <f>Maaned!R15</f>
        <v>skoledag</v>
      </c>
      <c r="N13" s="385" t="str">
        <f>IF(Maaned!T15&gt;0,Maaned!T15,"")</f>
        <v/>
      </c>
      <c r="O13" s="380" t="str">
        <f>Maaned!S15</f>
        <v/>
      </c>
      <c r="P13" s="258">
        <f>Maaned!W15</f>
        <v>11</v>
      </c>
      <c r="Q13" s="257" t="str">
        <f>Maaned!X15</f>
        <v>ma</v>
      </c>
      <c r="R13" s="267" t="str">
        <f>Maaned!Y15</f>
        <v>skoledag</v>
      </c>
      <c r="S13" s="385" t="str">
        <f>IF(Maaned!AA15&gt;0,Maaned!AA15,"")</f>
        <v/>
      </c>
      <c r="T13" s="380">
        <f>Maaned!Z15</f>
        <v>45.857142857142854</v>
      </c>
      <c r="U13" s="258">
        <f>Maaned!AD15</f>
        <v>11</v>
      </c>
      <c r="V13" s="257" t="str">
        <f>Maaned!AE15</f>
        <v>on</v>
      </c>
      <c r="W13" s="267" t="str">
        <f>Maaned!AF15</f>
        <v>skoledag</v>
      </c>
      <c r="X13" s="385" t="str">
        <f>IF(Maaned!AH15&gt;0,Maaned!AH15,"")</f>
        <v/>
      </c>
      <c r="Y13" s="380" t="str">
        <f>Maaned!AG15</f>
        <v/>
      </c>
      <c r="Z13" s="258">
        <f>Maaned!AK15</f>
        <v>11</v>
      </c>
      <c r="AA13" s="257" t="str">
        <f>Maaned!AL15</f>
        <v>lø</v>
      </c>
      <c r="AB13" s="267" t="str">
        <f>Maaned!AM15</f>
        <v>weekend</v>
      </c>
      <c r="AC13" s="385" t="str">
        <f>IF(Maaned!AO15&gt;0,Maaned!AO15,"")</f>
        <v/>
      </c>
      <c r="AD13" s="387" t="str">
        <f>Maaned!AN15</f>
        <v/>
      </c>
    </row>
    <row r="14" spans="1:30" ht="23" customHeight="1">
      <c r="A14" s="258">
        <f>Maaned!B16</f>
        <v>12</v>
      </c>
      <c r="B14" s="257" t="str">
        <f>Maaned!C16</f>
        <v>ma</v>
      </c>
      <c r="C14" s="267" t="str">
        <f>Maaned!D16</f>
        <v>skoledag</v>
      </c>
      <c r="D14" s="382" t="str">
        <f>IF(Maaned!F16&gt;0,Maaned!F16,"")</f>
        <v/>
      </c>
      <c r="E14" s="380">
        <f>Maaned!E16</f>
        <v>32.857142857142854</v>
      </c>
      <c r="F14" s="258">
        <f>Maaned!I16</f>
        <v>12</v>
      </c>
      <c r="G14" s="257" t="str">
        <f>Maaned!J16</f>
        <v>to</v>
      </c>
      <c r="H14" s="267" t="str">
        <f>Maaned!K16</f>
        <v>skoledag</v>
      </c>
      <c r="I14" s="382" t="str">
        <f>IF(Maaned!M16&gt;0,Maaned!M16,"")</f>
        <v/>
      </c>
      <c r="J14" s="380" t="str">
        <f>Maaned!L16</f>
        <v/>
      </c>
      <c r="K14" s="258">
        <f>Maaned!P16</f>
        <v>12</v>
      </c>
      <c r="L14" s="257" t="str">
        <f>Maaned!Q16</f>
        <v>lø</v>
      </c>
      <c r="M14" s="267" t="str">
        <f>Maaned!R16</f>
        <v>weekend</v>
      </c>
      <c r="N14" s="385" t="str">
        <f>IF(Maaned!T16&gt;0,Maaned!T16,"")</f>
        <v/>
      </c>
      <c r="O14" s="380" t="str">
        <f>Maaned!S16</f>
        <v/>
      </c>
      <c r="P14" s="258">
        <f>Maaned!W16</f>
        <v>12</v>
      </c>
      <c r="Q14" s="257" t="str">
        <f>Maaned!X16</f>
        <v>ti</v>
      </c>
      <c r="R14" s="267" t="str">
        <f>Maaned!Y16</f>
        <v>skoledag</v>
      </c>
      <c r="S14" s="385" t="str">
        <f>IF(Maaned!AA16&gt;0,Maaned!AA16,"")</f>
        <v/>
      </c>
      <c r="T14" s="380" t="str">
        <f>Maaned!Z16</f>
        <v/>
      </c>
      <c r="U14" s="258">
        <f>Maaned!AD16</f>
        <v>12</v>
      </c>
      <c r="V14" s="257" t="str">
        <f>Maaned!AE16</f>
        <v>to</v>
      </c>
      <c r="W14" s="267" t="str">
        <f>Maaned!AF16</f>
        <v>skoledag</v>
      </c>
      <c r="X14" s="385" t="str">
        <f>IF(Maaned!AH16&gt;0,Maaned!AH16,"")</f>
        <v/>
      </c>
      <c r="Y14" s="380" t="str">
        <f>Maaned!AG16</f>
        <v/>
      </c>
      <c r="Z14" s="258">
        <f>Maaned!AK16</f>
        <v>12</v>
      </c>
      <c r="AA14" s="257" t="str">
        <f>Maaned!AL16</f>
        <v>sø</v>
      </c>
      <c r="AB14" s="267" t="str">
        <f>Maaned!AM16</f>
        <v>weekend</v>
      </c>
      <c r="AC14" s="385" t="str">
        <f>IF(Maaned!AO16&gt;0,Maaned!AO16,"")</f>
        <v/>
      </c>
      <c r="AD14" s="387" t="str">
        <f>Maaned!AN16</f>
        <v/>
      </c>
    </row>
    <row r="15" spans="1:30" ht="23" customHeight="1">
      <c r="A15" s="258">
        <f>Maaned!B17</f>
        <v>13</v>
      </c>
      <c r="B15" s="257" t="str">
        <f>Maaned!C17</f>
        <v>ti</v>
      </c>
      <c r="C15" s="267" t="str">
        <f>Maaned!D17</f>
        <v>skoledag</v>
      </c>
      <c r="D15" s="382" t="str">
        <f>IF(Maaned!F17&gt;0,Maaned!F17,"")</f>
        <v/>
      </c>
      <c r="E15" s="380" t="str">
        <f>Maaned!E17</f>
        <v/>
      </c>
      <c r="F15" s="258">
        <f>Maaned!I17</f>
        <v>13</v>
      </c>
      <c r="G15" s="257" t="str">
        <f>Maaned!J17</f>
        <v>fr</v>
      </c>
      <c r="H15" s="267" t="str">
        <f>Maaned!K17</f>
        <v>skoledag</v>
      </c>
      <c r="I15" s="382" t="str">
        <f>IF(Maaned!M17&gt;0,Maaned!M17,"")</f>
        <v/>
      </c>
      <c r="J15" s="380" t="str">
        <f>Maaned!L17</f>
        <v/>
      </c>
      <c r="K15" s="258">
        <f>Maaned!P17</f>
        <v>13</v>
      </c>
      <c r="L15" s="257" t="str">
        <f>Maaned!Q17</f>
        <v>sø</v>
      </c>
      <c r="M15" s="267" t="str">
        <f>Maaned!R17</f>
        <v>weekend</v>
      </c>
      <c r="N15" s="385" t="str">
        <f>IF(Maaned!T17&gt;0,Maaned!T17,"")</f>
        <v/>
      </c>
      <c r="O15" s="380" t="str">
        <f>Maaned!S17</f>
        <v/>
      </c>
      <c r="P15" s="258">
        <f>Maaned!W17</f>
        <v>13</v>
      </c>
      <c r="Q15" s="257" t="str">
        <f>Maaned!X17</f>
        <v>on</v>
      </c>
      <c r="R15" s="267" t="str">
        <f>Maaned!Y17</f>
        <v>skoledag</v>
      </c>
      <c r="S15" s="385" t="str">
        <f>IF(Maaned!AA17&gt;0,Maaned!AA17,"")</f>
        <v/>
      </c>
      <c r="T15" s="380" t="str">
        <f>Maaned!Z17</f>
        <v/>
      </c>
      <c r="U15" s="258">
        <f>Maaned!AD17</f>
        <v>13</v>
      </c>
      <c r="V15" s="257" t="str">
        <f>Maaned!AE17</f>
        <v>fr</v>
      </c>
      <c r="W15" s="267" t="str">
        <f>Maaned!AF17</f>
        <v>skoledag</v>
      </c>
      <c r="X15" s="385" t="str">
        <f>IF(Maaned!AH17&gt;0,Maaned!AH17,"")</f>
        <v/>
      </c>
      <c r="Y15" s="380" t="str">
        <f>Maaned!AG17</f>
        <v/>
      </c>
      <c r="Z15" s="258">
        <f>Maaned!AK17</f>
        <v>13</v>
      </c>
      <c r="AA15" s="257" t="str">
        <f>Maaned!AL17</f>
        <v>ma</v>
      </c>
      <c r="AB15" s="267" t="str">
        <f>Maaned!AM17</f>
        <v>skoledag</v>
      </c>
      <c r="AC15" s="385" t="str">
        <f>IF(Maaned!AO17&gt;0,Maaned!AO17,"")</f>
        <v/>
      </c>
      <c r="AD15" s="387">
        <f>Maaned!AN17</f>
        <v>2.7142857142857144</v>
      </c>
    </row>
    <row r="16" spans="1:30" ht="23" customHeight="1">
      <c r="A16" s="258">
        <f>Maaned!B18</f>
        <v>14</v>
      </c>
      <c r="B16" s="257" t="str">
        <f>Maaned!C18</f>
        <v>on</v>
      </c>
      <c r="C16" s="267" t="str">
        <f>Maaned!D18</f>
        <v>skoledag</v>
      </c>
      <c r="D16" s="382" t="str">
        <f>IF(Maaned!F18&gt;0,Maaned!F18,"")</f>
        <v/>
      </c>
      <c r="E16" s="380" t="str">
        <f>Maaned!E18</f>
        <v/>
      </c>
      <c r="F16" s="258">
        <f>Maaned!I18</f>
        <v>14</v>
      </c>
      <c r="G16" s="257" t="str">
        <f>Maaned!J18</f>
        <v>lø</v>
      </c>
      <c r="H16" s="267" t="str">
        <f>Maaned!K18</f>
        <v>weekend</v>
      </c>
      <c r="I16" s="382" t="str">
        <f>IF(Maaned!M18&gt;0,Maaned!M18,"")</f>
        <v/>
      </c>
      <c r="J16" s="380" t="str">
        <f>Maaned!L18</f>
        <v/>
      </c>
      <c r="K16" s="258">
        <f>Maaned!P18</f>
        <v>14</v>
      </c>
      <c r="L16" s="257" t="str">
        <f>Maaned!Q18</f>
        <v>ma</v>
      </c>
      <c r="M16" s="267" t="str">
        <f>Maaned!R18</f>
        <v>nul-dag</v>
      </c>
      <c r="N16" s="385" t="str">
        <f>IF(Maaned!T18&gt;0,Maaned!T18,"")</f>
        <v>Efterårsferie</v>
      </c>
      <c r="O16" s="380">
        <f>Maaned!S18</f>
        <v>41.857142857142854</v>
      </c>
      <c r="P16" s="258">
        <f>Maaned!W18</f>
        <v>14</v>
      </c>
      <c r="Q16" s="257" t="str">
        <f>Maaned!X18</f>
        <v>to</v>
      </c>
      <c r="R16" s="267" t="str">
        <f>Maaned!Y18</f>
        <v>skoledag</v>
      </c>
      <c r="S16" s="385" t="str">
        <f>IF(Maaned!AA18&gt;0,Maaned!AA18,"")</f>
        <v/>
      </c>
      <c r="T16" s="380" t="str">
        <f>Maaned!Z18</f>
        <v/>
      </c>
      <c r="U16" s="258">
        <f>Maaned!AD18</f>
        <v>14</v>
      </c>
      <c r="V16" s="257" t="str">
        <f>Maaned!AE18</f>
        <v>lø</v>
      </c>
      <c r="W16" s="267" t="str">
        <f>Maaned!AF18</f>
        <v>weekend</v>
      </c>
      <c r="X16" s="385" t="str">
        <f>IF(Maaned!AH18&gt;0,Maaned!AH18,"")</f>
        <v/>
      </c>
      <c r="Y16" s="380" t="str">
        <f>Maaned!AG18</f>
        <v/>
      </c>
      <c r="Z16" s="258">
        <f>Maaned!AK18</f>
        <v>14</v>
      </c>
      <c r="AA16" s="257" t="str">
        <f>Maaned!AL18</f>
        <v>ti</v>
      </c>
      <c r="AB16" s="267" t="str">
        <f>Maaned!AM18</f>
        <v>skoledag</v>
      </c>
      <c r="AC16" s="385" t="str">
        <f>IF(Maaned!AO18&gt;0,Maaned!AO18,"")</f>
        <v/>
      </c>
      <c r="AD16" s="387" t="str">
        <f>Maaned!AN18</f>
        <v/>
      </c>
    </row>
    <row r="17" spans="1:30" ht="23" customHeight="1">
      <c r="A17" s="258">
        <f>Maaned!B19</f>
        <v>15</v>
      </c>
      <c r="B17" s="257" t="str">
        <f>Maaned!C19</f>
        <v>to</v>
      </c>
      <c r="C17" s="267" t="str">
        <f>Maaned!D19</f>
        <v>skoledag</v>
      </c>
      <c r="D17" s="382" t="str">
        <f>IF(Maaned!F19&gt;0,Maaned!F19,"")</f>
        <v/>
      </c>
      <c r="E17" s="380" t="str">
        <f>Maaned!E19</f>
        <v/>
      </c>
      <c r="F17" s="258">
        <f>Maaned!I19</f>
        <v>15</v>
      </c>
      <c r="G17" s="257" t="str">
        <f>Maaned!J19</f>
        <v>sø</v>
      </c>
      <c r="H17" s="267" t="str">
        <f>Maaned!K19</f>
        <v>weekend</v>
      </c>
      <c r="I17" s="382" t="str">
        <f>IF(Maaned!M19&gt;0,Maaned!M19,"")</f>
        <v/>
      </c>
      <c r="J17" s="380" t="str">
        <f>Maaned!L19</f>
        <v/>
      </c>
      <c r="K17" s="258">
        <f>Maaned!P19</f>
        <v>15</v>
      </c>
      <c r="L17" s="257" t="str">
        <f>Maaned!Q19</f>
        <v>ti</v>
      </c>
      <c r="M17" s="267" t="str">
        <f>Maaned!R19</f>
        <v>Nul-dag</v>
      </c>
      <c r="N17" s="385" t="str">
        <f>IF(Maaned!T19&gt;0,Maaned!T19,"")</f>
        <v>Efterårsferie</v>
      </c>
      <c r="O17" s="380" t="str">
        <f>Maaned!S19</f>
        <v/>
      </c>
      <c r="P17" s="258">
        <f>Maaned!W19</f>
        <v>15</v>
      </c>
      <c r="Q17" s="257" t="str">
        <f>Maaned!X19</f>
        <v>fr</v>
      </c>
      <c r="R17" s="267" t="str">
        <f>Maaned!Y19</f>
        <v>skoledag</v>
      </c>
      <c r="S17" s="385" t="str">
        <f>IF(Maaned!AA19&gt;0,Maaned!AA19,"")</f>
        <v/>
      </c>
      <c r="T17" s="380" t="str">
        <f>Maaned!Z19</f>
        <v/>
      </c>
      <c r="U17" s="258">
        <f>Maaned!AD19</f>
        <v>15</v>
      </c>
      <c r="V17" s="257" t="str">
        <f>Maaned!AE19</f>
        <v>sø</v>
      </c>
      <c r="W17" s="267" t="str">
        <f>Maaned!AF19</f>
        <v>weekend</v>
      </c>
      <c r="X17" s="385" t="str">
        <f>IF(Maaned!AH19&gt;0,Maaned!AH19,"")</f>
        <v/>
      </c>
      <c r="Y17" s="380" t="str">
        <f>Maaned!AG19</f>
        <v/>
      </c>
      <c r="Z17" s="258">
        <f>Maaned!AK19</f>
        <v>15</v>
      </c>
      <c r="AA17" s="257" t="str">
        <f>Maaned!AL19</f>
        <v>on</v>
      </c>
      <c r="AB17" s="267" t="str">
        <f>Maaned!AM19</f>
        <v>skoledag</v>
      </c>
      <c r="AC17" s="385" t="str">
        <f>IF(Maaned!AO19&gt;0,Maaned!AO19,"")</f>
        <v/>
      </c>
      <c r="AD17" s="387" t="str">
        <f>Maaned!AN19</f>
        <v/>
      </c>
    </row>
    <row r="18" spans="1:30" ht="23" customHeight="1">
      <c r="A18" s="258">
        <f>Maaned!B20</f>
        <v>16</v>
      </c>
      <c r="B18" s="257" t="str">
        <f>Maaned!C20</f>
        <v>fr</v>
      </c>
      <c r="C18" s="267" t="str">
        <f>Maaned!D20</f>
        <v>skoledag</v>
      </c>
      <c r="D18" s="382" t="str">
        <f>IF(Maaned!F20&gt;0,Maaned!F20,"")</f>
        <v/>
      </c>
      <c r="E18" s="380" t="str">
        <f>Maaned!E20</f>
        <v/>
      </c>
      <c r="F18" s="258">
        <f>Maaned!I20</f>
        <v>16</v>
      </c>
      <c r="G18" s="257" t="str">
        <f>Maaned!J20</f>
        <v>ma</v>
      </c>
      <c r="H18" s="267" t="str">
        <f>Maaned!K20</f>
        <v>skoledag</v>
      </c>
      <c r="I18" s="382" t="str">
        <f>IF(Maaned!M20&gt;0,Maaned!M20,"")</f>
        <v/>
      </c>
      <c r="J18" s="380">
        <f>Maaned!L20</f>
        <v>37.857142857142854</v>
      </c>
      <c r="K18" s="258">
        <f>Maaned!P20</f>
        <v>16</v>
      </c>
      <c r="L18" s="257" t="str">
        <f>Maaned!Q20</f>
        <v>on</v>
      </c>
      <c r="M18" s="267" t="str">
        <f>Maaned!R20</f>
        <v>Nul-dag</v>
      </c>
      <c r="N18" s="385" t="str">
        <f>IF(Maaned!T20&gt;0,Maaned!T20,"")</f>
        <v>Efterårsferie</v>
      </c>
      <c r="O18" s="380" t="str">
        <f>Maaned!S20</f>
        <v/>
      </c>
      <c r="P18" s="258">
        <f>Maaned!W20</f>
        <v>16</v>
      </c>
      <c r="Q18" s="257" t="str">
        <f>Maaned!X20</f>
        <v>lø</v>
      </c>
      <c r="R18" s="267" t="str">
        <f>Maaned!Y20</f>
        <v>weekend</v>
      </c>
      <c r="S18" s="385" t="str">
        <f>IF(Maaned!AA20&gt;0,Maaned!AA20,"")</f>
        <v/>
      </c>
      <c r="T18" s="380" t="str">
        <f>Maaned!Z20</f>
        <v/>
      </c>
      <c r="U18" s="258">
        <f>Maaned!AD20</f>
        <v>16</v>
      </c>
      <c r="V18" s="257" t="str">
        <f>Maaned!AE20</f>
        <v>ma</v>
      </c>
      <c r="W18" s="267" t="str">
        <f>Maaned!AF20</f>
        <v>skoledag</v>
      </c>
      <c r="X18" s="385" t="str">
        <f>IF(Maaned!AH20&gt;0,Maaned!AH20,"")</f>
        <v/>
      </c>
      <c r="Y18" s="380">
        <f>Maaned!AG20</f>
        <v>50.857142857142854</v>
      </c>
      <c r="Z18" s="258">
        <f>Maaned!AK20</f>
        <v>16</v>
      </c>
      <c r="AA18" s="257" t="str">
        <f>Maaned!AL20</f>
        <v>to</v>
      </c>
      <c r="AB18" s="267" t="str">
        <f>Maaned!AM20</f>
        <v>skoledag</v>
      </c>
      <c r="AC18" s="385" t="str">
        <f>IF(Maaned!AO20&gt;0,Maaned!AO20,"")</f>
        <v/>
      </c>
      <c r="AD18" s="387" t="str">
        <f>Maaned!AN20</f>
        <v/>
      </c>
    </row>
    <row r="19" spans="1:30" ht="23" customHeight="1">
      <c r="A19" s="258">
        <f>Maaned!B21</f>
        <v>17</v>
      </c>
      <c r="B19" s="257" t="str">
        <f>Maaned!C21</f>
        <v>lø</v>
      </c>
      <c r="C19" s="267" t="str">
        <f>Maaned!D21</f>
        <v>weekend</v>
      </c>
      <c r="D19" s="382" t="str">
        <f>IF(Maaned!F21&gt;0,Maaned!F21,"")</f>
        <v/>
      </c>
      <c r="E19" s="380" t="str">
        <f>Maaned!E21</f>
        <v/>
      </c>
      <c r="F19" s="258">
        <f>Maaned!I21</f>
        <v>17</v>
      </c>
      <c r="G19" s="257" t="str">
        <f>Maaned!J21</f>
        <v>ti</v>
      </c>
      <c r="H19" s="267" t="str">
        <f>Maaned!K21</f>
        <v>skoledag</v>
      </c>
      <c r="I19" s="382" t="str">
        <f>IF(Maaned!M21&gt;0,Maaned!M21,"")</f>
        <v/>
      </c>
      <c r="J19" s="380" t="str">
        <f>Maaned!L21</f>
        <v/>
      </c>
      <c r="K19" s="258">
        <f>Maaned!P21</f>
        <v>17</v>
      </c>
      <c r="L19" s="257" t="str">
        <f>Maaned!Q21</f>
        <v>to</v>
      </c>
      <c r="M19" s="267" t="str">
        <f>Maaned!R21</f>
        <v>Nul-dag</v>
      </c>
      <c r="N19" s="385" t="str">
        <f>IF(Maaned!T21&gt;0,Maaned!T21,"")</f>
        <v>Efterårsferie</v>
      </c>
      <c r="O19" s="380" t="str">
        <f>Maaned!S21</f>
        <v/>
      </c>
      <c r="P19" s="258">
        <f>Maaned!W21</f>
        <v>17</v>
      </c>
      <c r="Q19" s="257" t="str">
        <f>Maaned!X21</f>
        <v>sø</v>
      </c>
      <c r="R19" s="267" t="str">
        <f>Maaned!Y21</f>
        <v>weekend</v>
      </c>
      <c r="S19" s="385" t="str">
        <f>IF(Maaned!AA21&gt;0,Maaned!AA21,"")</f>
        <v/>
      </c>
      <c r="T19" s="380" t="str">
        <f>Maaned!Z21</f>
        <v/>
      </c>
      <c r="U19" s="258">
        <f>Maaned!AD21</f>
        <v>17</v>
      </c>
      <c r="V19" s="257" t="str">
        <f>Maaned!AE21</f>
        <v>ti</v>
      </c>
      <c r="W19" s="267" t="str">
        <f>Maaned!AF21</f>
        <v>skoledag</v>
      </c>
      <c r="X19" s="385" t="str">
        <f>IF(Maaned!AH21&gt;0,Maaned!AH21,"")</f>
        <v/>
      </c>
      <c r="Y19" s="380" t="str">
        <f>Maaned!AG21</f>
        <v/>
      </c>
      <c r="Z19" s="258">
        <f>Maaned!AK21</f>
        <v>17</v>
      </c>
      <c r="AA19" s="257" t="str">
        <f>Maaned!AL21</f>
        <v>fr</v>
      </c>
      <c r="AB19" s="267" t="str">
        <f>Maaned!AM21</f>
        <v>skoledag</v>
      </c>
      <c r="AC19" s="385" t="str">
        <f>IF(Maaned!AO21&gt;0,Maaned!AO21,"")</f>
        <v/>
      </c>
      <c r="AD19" s="387" t="str">
        <f>Maaned!AN21</f>
        <v/>
      </c>
    </row>
    <row r="20" spans="1:30" ht="23" customHeight="1">
      <c r="A20" s="258">
        <f>Maaned!B22</f>
        <v>18</v>
      </c>
      <c r="B20" s="257" t="str">
        <f>Maaned!C22</f>
        <v>sø</v>
      </c>
      <c r="C20" s="267" t="str">
        <f>Maaned!D22</f>
        <v>weekend</v>
      </c>
      <c r="D20" s="382" t="str">
        <f>IF(Maaned!F22&gt;0,Maaned!F22,"")</f>
        <v/>
      </c>
      <c r="E20" s="380" t="str">
        <f>Maaned!E22</f>
        <v/>
      </c>
      <c r="F20" s="258">
        <f>Maaned!I22</f>
        <v>18</v>
      </c>
      <c r="G20" s="257" t="str">
        <f>Maaned!J22</f>
        <v>on</v>
      </c>
      <c r="H20" s="267" t="str">
        <f>Maaned!K22</f>
        <v>skoledag</v>
      </c>
      <c r="I20" s="382" t="str">
        <f>IF(Maaned!M22&gt;0,Maaned!M22,"")</f>
        <v/>
      </c>
      <c r="J20" s="380" t="str">
        <f>Maaned!L22</f>
        <v/>
      </c>
      <c r="K20" s="258">
        <f>Maaned!P22</f>
        <v>18</v>
      </c>
      <c r="L20" s="257" t="str">
        <f>Maaned!Q22</f>
        <v>fr</v>
      </c>
      <c r="M20" s="267" t="str">
        <f>Maaned!R22</f>
        <v>Nul-dag</v>
      </c>
      <c r="N20" s="385" t="str">
        <f>IF(Maaned!T22&gt;0,Maaned!T22,"")</f>
        <v>Efterårsferie</v>
      </c>
      <c r="O20" s="380" t="str">
        <f>Maaned!S22</f>
        <v/>
      </c>
      <c r="P20" s="258">
        <f>Maaned!W22</f>
        <v>18</v>
      </c>
      <c r="Q20" s="257" t="str">
        <f>Maaned!X22</f>
        <v>ma</v>
      </c>
      <c r="R20" s="267" t="str">
        <f>Maaned!Y22</f>
        <v>skoledag</v>
      </c>
      <c r="S20" s="385" t="str">
        <f>IF(Maaned!AA22&gt;0,Maaned!AA22,"")</f>
        <v/>
      </c>
      <c r="T20" s="380">
        <f>Maaned!Z22</f>
        <v>46.857142857142854</v>
      </c>
      <c r="U20" s="258">
        <f>Maaned!AD22</f>
        <v>18</v>
      </c>
      <c r="V20" s="257" t="str">
        <f>Maaned!AE22</f>
        <v>on</v>
      </c>
      <c r="W20" s="267" t="str">
        <f>Maaned!AF22</f>
        <v>skoledag</v>
      </c>
      <c r="X20" s="385" t="str">
        <f>IF(Maaned!AH22&gt;0,Maaned!AH22,"")</f>
        <v/>
      </c>
      <c r="Y20" s="380" t="str">
        <f>Maaned!AG22</f>
        <v/>
      </c>
      <c r="Z20" s="258">
        <f>Maaned!AK22</f>
        <v>18</v>
      </c>
      <c r="AA20" s="257" t="str">
        <f>Maaned!AL22</f>
        <v>lø</v>
      </c>
      <c r="AB20" s="267" t="str">
        <f>Maaned!AM22</f>
        <v>weekend</v>
      </c>
      <c r="AC20" s="385" t="str">
        <f>IF(Maaned!AO22&gt;0,Maaned!AO22,"")</f>
        <v/>
      </c>
      <c r="AD20" s="387" t="str">
        <f>Maaned!AN22</f>
        <v/>
      </c>
    </row>
    <row r="21" spans="1:30" ht="23" customHeight="1">
      <c r="A21" s="258">
        <f>Maaned!B23</f>
        <v>19</v>
      </c>
      <c r="B21" s="257" t="str">
        <f>Maaned!C23</f>
        <v>ma</v>
      </c>
      <c r="C21" s="267" t="str">
        <f>Maaned!D23</f>
        <v>skoledag</v>
      </c>
      <c r="D21" s="382" t="str">
        <f>IF(Maaned!F23&gt;0,Maaned!F23,"")</f>
        <v/>
      </c>
      <c r="E21" s="380">
        <f>Maaned!E23</f>
        <v>33.857142857142854</v>
      </c>
      <c r="F21" s="258">
        <f>Maaned!I23</f>
        <v>19</v>
      </c>
      <c r="G21" s="257" t="str">
        <f>Maaned!J23</f>
        <v>to</v>
      </c>
      <c r="H21" s="267" t="str">
        <f>Maaned!K23</f>
        <v>skoledag</v>
      </c>
      <c r="I21" s="382" t="str">
        <f>IF(Maaned!M23&gt;0,Maaned!M23,"")</f>
        <v/>
      </c>
      <c r="J21" s="380" t="str">
        <f>Maaned!L23</f>
        <v/>
      </c>
      <c r="K21" s="258">
        <f>Maaned!P23</f>
        <v>19</v>
      </c>
      <c r="L21" s="257" t="str">
        <f>Maaned!Q23</f>
        <v>lø</v>
      </c>
      <c r="M21" s="267" t="str">
        <f>Maaned!R23</f>
        <v>weekend</v>
      </c>
      <c r="N21" s="385" t="str">
        <f>IF(Maaned!T23&gt;0,Maaned!T23,"")</f>
        <v/>
      </c>
      <c r="O21" s="380" t="str">
        <f>Maaned!S23</f>
        <v/>
      </c>
      <c r="P21" s="258">
        <f>Maaned!W23</f>
        <v>19</v>
      </c>
      <c r="Q21" s="257" t="str">
        <f>Maaned!X23</f>
        <v>ti</v>
      </c>
      <c r="R21" s="267" t="str">
        <f>Maaned!Y23</f>
        <v>skoledag</v>
      </c>
      <c r="S21" s="385" t="str">
        <f>IF(Maaned!AA23&gt;0,Maaned!AA23,"")</f>
        <v/>
      </c>
      <c r="T21" s="380" t="str">
        <f>Maaned!Z23</f>
        <v/>
      </c>
      <c r="U21" s="258">
        <f>Maaned!AD23</f>
        <v>19</v>
      </c>
      <c r="V21" s="257" t="str">
        <f>Maaned!AE23</f>
        <v>to</v>
      </c>
      <c r="W21" s="267" t="str">
        <f>Maaned!AF23</f>
        <v>skoledag</v>
      </c>
      <c r="X21" s="385" t="str">
        <f>IF(Maaned!AH23&gt;0,Maaned!AH23,"")</f>
        <v/>
      </c>
      <c r="Y21" s="380" t="str">
        <f>Maaned!AG23</f>
        <v/>
      </c>
      <c r="Z21" s="258">
        <f>Maaned!AK23</f>
        <v>19</v>
      </c>
      <c r="AA21" s="257" t="str">
        <f>Maaned!AL23</f>
        <v>sø</v>
      </c>
      <c r="AB21" s="267" t="str">
        <f>Maaned!AM23</f>
        <v>weekend</v>
      </c>
      <c r="AC21" s="385" t="str">
        <f>IF(Maaned!AO23&gt;0,Maaned!AO23,"")</f>
        <v/>
      </c>
      <c r="AD21" s="387" t="str">
        <f>Maaned!AN23</f>
        <v/>
      </c>
    </row>
    <row r="22" spans="1:30" ht="23" customHeight="1">
      <c r="A22" s="258">
        <f>Maaned!B24</f>
        <v>20</v>
      </c>
      <c r="B22" s="257" t="str">
        <f>Maaned!C24</f>
        <v>ti</v>
      </c>
      <c r="C22" s="267" t="str">
        <f>Maaned!D24</f>
        <v>skoledag</v>
      </c>
      <c r="D22" s="382" t="str">
        <f>IF(Maaned!F24&gt;0,Maaned!F24,"")</f>
        <v/>
      </c>
      <c r="E22" s="380" t="str">
        <f>Maaned!E24</f>
        <v/>
      </c>
      <c r="F22" s="258">
        <f>Maaned!I24</f>
        <v>20</v>
      </c>
      <c r="G22" s="257" t="str">
        <f>Maaned!J24</f>
        <v>fr</v>
      </c>
      <c r="H22" s="267" t="str">
        <f>Maaned!K24</f>
        <v>skoledag</v>
      </c>
      <c r="I22" s="382" t="str">
        <f>IF(Maaned!M24&gt;0,Maaned!M24,"")</f>
        <v/>
      </c>
      <c r="J22" s="380" t="str">
        <f>Maaned!L24</f>
        <v/>
      </c>
      <c r="K22" s="258">
        <f>Maaned!P24</f>
        <v>20</v>
      </c>
      <c r="L22" s="257" t="str">
        <f>Maaned!Q24</f>
        <v>sø</v>
      </c>
      <c r="M22" s="267" t="str">
        <f>Maaned!R24</f>
        <v>weekend</v>
      </c>
      <c r="N22" s="385" t="str">
        <f>IF(Maaned!T24&gt;0,Maaned!T24,"")</f>
        <v/>
      </c>
      <c r="O22" s="380" t="str">
        <f>Maaned!S24</f>
        <v/>
      </c>
      <c r="P22" s="258">
        <f>Maaned!W24</f>
        <v>20</v>
      </c>
      <c r="Q22" s="257" t="str">
        <f>Maaned!X24</f>
        <v>on</v>
      </c>
      <c r="R22" s="267" t="str">
        <f>Maaned!Y24</f>
        <v>skoledag</v>
      </c>
      <c r="S22" s="385" t="str">
        <f>IF(Maaned!AA24&gt;0,Maaned!AA24,"")</f>
        <v/>
      </c>
      <c r="T22" s="380" t="str">
        <f>Maaned!Z24</f>
        <v/>
      </c>
      <c r="U22" s="258">
        <f>Maaned!AD24</f>
        <v>20</v>
      </c>
      <c r="V22" s="257" t="str">
        <f>Maaned!AE24</f>
        <v>fr</v>
      </c>
      <c r="W22" s="267" t="str">
        <f>Maaned!AF24</f>
        <v>skoledag</v>
      </c>
      <c r="X22" s="385" t="str">
        <f>IF(Maaned!AH24&gt;0,Maaned!AH24,"")</f>
        <v/>
      </c>
      <c r="Y22" s="380" t="str">
        <f>Maaned!AG24</f>
        <v/>
      </c>
      <c r="Z22" s="258">
        <f>Maaned!AK24</f>
        <v>20</v>
      </c>
      <c r="AA22" s="257" t="str">
        <f>Maaned!AL24</f>
        <v>ma</v>
      </c>
      <c r="AB22" s="267" t="str">
        <f>Maaned!AM24</f>
        <v>skoledag</v>
      </c>
      <c r="AC22" s="385" t="str">
        <f>IF(Maaned!AO24&gt;0,Maaned!AO24,"")</f>
        <v/>
      </c>
      <c r="AD22" s="387">
        <f>Maaned!AN24</f>
        <v>3.7142857142857144</v>
      </c>
    </row>
    <row r="23" spans="1:30" ht="23" customHeight="1">
      <c r="A23" s="258">
        <f>Maaned!B25</f>
        <v>21</v>
      </c>
      <c r="B23" s="257" t="str">
        <f>Maaned!C25</f>
        <v>on</v>
      </c>
      <c r="C23" s="267" t="str">
        <f>Maaned!D25</f>
        <v>skoledag</v>
      </c>
      <c r="D23" s="382" t="str">
        <f>IF(Maaned!F25&gt;0,Maaned!F25,"")</f>
        <v/>
      </c>
      <c r="E23" s="380" t="str">
        <f>Maaned!E25</f>
        <v/>
      </c>
      <c r="F23" s="258">
        <f>Maaned!I25</f>
        <v>21</v>
      </c>
      <c r="G23" s="257" t="str">
        <f>Maaned!J25</f>
        <v>lø</v>
      </c>
      <c r="H23" s="267" t="str">
        <f>Maaned!K25</f>
        <v>weekend</v>
      </c>
      <c r="I23" s="382" t="str">
        <f>IF(Maaned!M25&gt;0,Maaned!M25,"")</f>
        <v/>
      </c>
      <c r="J23" s="380" t="str">
        <f>Maaned!L25</f>
        <v/>
      </c>
      <c r="K23" s="258">
        <f>Maaned!P25</f>
        <v>21</v>
      </c>
      <c r="L23" s="257" t="str">
        <f>Maaned!Q25</f>
        <v>ma</v>
      </c>
      <c r="M23" s="267" t="str">
        <f>Maaned!R25</f>
        <v>skoledag</v>
      </c>
      <c r="N23" s="385" t="str">
        <f>IF(Maaned!T25&gt;0,Maaned!T25,"")</f>
        <v/>
      </c>
      <c r="O23" s="380">
        <f>Maaned!S25</f>
        <v>42.857142857142854</v>
      </c>
      <c r="P23" s="258">
        <f>Maaned!W25</f>
        <v>21</v>
      </c>
      <c r="Q23" s="257" t="str">
        <f>Maaned!X25</f>
        <v>to</v>
      </c>
      <c r="R23" s="267" t="str">
        <f>Maaned!Y25</f>
        <v>skoledag</v>
      </c>
      <c r="S23" s="385" t="str">
        <f>IF(Maaned!AA25&gt;0,Maaned!AA25,"")</f>
        <v/>
      </c>
      <c r="T23" s="380" t="str">
        <f>Maaned!Z25</f>
        <v/>
      </c>
      <c r="U23" s="258">
        <f>Maaned!AD25</f>
        <v>21</v>
      </c>
      <c r="V23" s="257" t="str">
        <f>Maaned!AE25</f>
        <v>lø</v>
      </c>
      <c r="W23" s="267" t="str">
        <f>Maaned!AF25</f>
        <v>weekend</v>
      </c>
      <c r="X23" s="385" t="str">
        <f>IF(Maaned!AH25&gt;0,Maaned!AH25,"")</f>
        <v/>
      </c>
      <c r="Y23" s="380" t="str">
        <f>Maaned!AG25</f>
        <v/>
      </c>
      <c r="Z23" s="258">
        <f>Maaned!AK25</f>
        <v>21</v>
      </c>
      <c r="AA23" s="257" t="str">
        <f>Maaned!AL25</f>
        <v>ti</v>
      </c>
      <c r="AB23" s="267" t="str">
        <f>Maaned!AM25</f>
        <v>skoledag</v>
      </c>
      <c r="AC23" s="385" t="str">
        <f>IF(Maaned!AO25&gt;0,Maaned!AO25,"")</f>
        <v/>
      </c>
      <c r="AD23" s="387" t="str">
        <f>Maaned!AN25</f>
        <v/>
      </c>
    </row>
    <row r="24" spans="1:30" ht="23" customHeight="1">
      <c r="A24" s="258">
        <f>Maaned!B26</f>
        <v>22</v>
      </c>
      <c r="B24" s="257" t="str">
        <f>Maaned!C26</f>
        <v>to</v>
      </c>
      <c r="C24" s="267" t="str">
        <f>Maaned!D26</f>
        <v>skoledag</v>
      </c>
      <c r="D24" s="382" t="str">
        <f>IF(Maaned!F26&gt;0,Maaned!F26,"")</f>
        <v/>
      </c>
      <c r="E24" s="380" t="str">
        <f>Maaned!E26</f>
        <v/>
      </c>
      <c r="F24" s="258">
        <f>Maaned!I26</f>
        <v>22</v>
      </c>
      <c r="G24" s="257" t="str">
        <f>Maaned!J26</f>
        <v>sø</v>
      </c>
      <c r="H24" s="267" t="str">
        <f>Maaned!K26</f>
        <v>weekend</v>
      </c>
      <c r="I24" s="382" t="str">
        <f>IF(Maaned!M26&gt;0,Maaned!M26,"")</f>
        <v/>
      </c>
      <c r="J24" s="380" t="str">
        <f>Maaned!L26</f>
        <v/>
      </c>
      <c r="K24" s="258">
        <f>Maaned!P26</f>
        <v>22</v>
      </c>
      <c r="L24" s="257" t="str">
        <f>Maaned!Q26</f>
        <v>ti</v>
      </c>
      <c r="M24" s="267" t="str">
        <f>Maaned!R26</f>
        <v>skoledag</v>
      </c>
      <c r="N24" s="385" t="str">
        <f>IF(Maaned!T26&gt;0,Maaned!T26,"")</f>
        <v/>
      </c>
      <c r="O24" s="380" t="str">
        <f>Maaned!S26</f>
        <v/>
      </c>
      <c r="P24" s="258">
        <f>Maaned!W26</f>
        <v>22</v>
      </c>
      <c r="Q24" s="257" t="str">
        <f>Maaned!X26</f>
        <v>fr</v>
      </c>
      <c r="R24" s="267" t="str">
        <f>Maaned!Y26</f>
        <v>skoledag</v>
      </c>
      <c r="S24" s="385" t="str">
        <f>IF(Maaned!AA26&gt;0,Maaned!AA26,"")</f>
        <v/>
      </c>
      <c r="T24" s="380" t="str">
        <f>Maaned!Z26</f>
        <v/>
      </c>
      <c r="U24" s="258">
        <f>Maaned!AD26</f>
        <v>22</v>
      </c>
      <c r="V24" s="257" t="str">
        <f>Maaned!AE26</f>
        <v>sø</v>
      </c>
      <c r="W24" s="267" t="str">
        <f>Maaned!AF26</f>
        <v>weekend</v>
      </c>
      <c r="X24" s="385" t="str">
        <f>IF(Maaned!AH26&gt;0,Maaned!AH26,"")</f>
        <v/>
      </c>
      <c r="Y24" s="380" t="str">
        <f>Maaned!AG26</f>
        <v/>
      </c>
      <c r="Z24" s="258">
        <f>Maaned!AK26</f>
        <v>22</v>
      </c>
      <c r="AA24" s="257" t="str">
        <f>Maaned!AL26</f>
        <v>on</v>
      </c>
      <c r="AB24" s="267" t="str">
        <f>Maaned!AM26</f>
        <v>skoledag</v>
      </c>
      <c r="AC24" s="385" t="str">
        <f>IF(Maaned!AO26&gt;0,Maaned!AO26,"")</f>
        <v/>
      </c>
      <c r="AD24" s="387" t="str">
        <f>Maaned!AN26</f>
        <v/>
      </c>
    </row>
    <row r="25" spans="1:30" ht="23" customHeight="1">
      <c r="A25" s="258">
        <f>Maaned!B27</f>
        <v>23</v>
      </c>
      <c r="B25" s="257" t="str">
        <f>Maaned!C27</f>
        <v>fr</v>
      </c>
      <c r="C25" s="267" t="str">
        <f>Maaned!D27</f>
        <v>skoledag</v>
      </c>
      <c r="D25" s="382" t="str">
        <f>IF(Maaned!F27&gt;0,Maaned!F27,"")</f>
        <v/>
      </c>
      <c r="E25" s="380" t="str">
        <f>Maaned!E27</f>
        <v/>
      </c>
      <c r="F25" s="258">
        <f>Maaned!I27</f>
        <v>23</v>
      </c>
      <c r="G25" s="257" t="str">
        <f>Maaned!J27</f>
        <v>ma</v>
      </c>
      <c r="H25" s="267" t="str">
        <f>Maaned!K27</f>
        <v>skoledag</v>
      </c>
      <c r="I25" s="382" t="str">
        <f>IF(Maaned!M27&gt;0,Maaned!M27,"")</f>
        <v/>
      </c>
      <c r="J25" s="380">
        <f>Maaned!L27</f>
        <v>38.857142857142854</v>
      </c>
      <c r="K25" s="258">
        <f>Maaned!P27</f>
        <v>23</v>
      </c>
      <c r="L25" s="257" t="str">
        <f>Maaned!Q27</f>
        <v>on</v>
      </c>
      <c r="M25" s="267" t="str">
        <f>Maaned!R27</f>
        <v>skoledag</v>
      </c>
      <c r="N25" s="385" t="str">
        <f>IF(Maaned!T27&gt;0,Maaned!T27,"")</f>
        <v/>
      </c>
      <c r="O25" s="380" t="str">
        <f>Maaned!S27</f>
        <v/>
      </c>
      <c r="P25" s="258">
        <f>Maaned!W27</f>
        <v>23</v>
      </c>
      <c r="Q25" s="257" t="str">
        <f>Maaned!X27</f>
        <v>lø</v>
      </c>
      <c r="R25" s="267" t="str">
        <f>Maaned!Y27</f>
        <v>weekend</v>
      </c>
      <c r="S25" s="385" t="str">
        <f>IF(Maaned!AA27&gt;0,Maaned!AA27,"")</f>
        <v/>
      </c>
      <c r="T25" s="380" t="str">
        <f>Maaned!Z27</f>
        <v/>
      </c>
      <c r="U25" s="258">
        <f>Maaned!AD27</f>
        <v>23</v>
      </c>
      <c r="V25" s="257" t="str">
        <f>Maaned!AE27</f>
        <v>ma</v>
      </c>
      <c r="W25" s="267" t="str">
        <f>Maaned!AF27</f>
        <v>nul-dag</v>
      </c>
      <c r="X25" s="385" t="str">
        <f>IF(Maaned!AH27&gt;0,Maaned!AH27,"")</f>
        <v/>
      </c>
      <c r="Y25" s="380">
        <f>Maaned!AG27</f>
        <v>51.857142857142854</v>
      </c>
      <c r="Z25" s="258">
        <f>Maaned!AK27</f>
        <v>23</v>
      </c>
      <c r="AA25" s="257" t="str">
        <f>Maaned!AL27</f>
        <v>to</v>
      </c>
      <c r="AB25" s="267" t="str">
        <f>Maaned!AM27</f>
        <v>skoledag</v>
      </c>
      <c r="AC25" s="385" t="str">
        <f>IF(Maaned!AO27&gt;0,Maaned!AO27,"")</f>
        <v/>
      </c>
      <c r="AD25" s="387" t="str">
        <f>Maaned!AN27</f>
        <v/>
      </c>
    </row>
    <row r="26" spans="1:30" ht="23" customHeight="1">
      <c r="A26" s="258">
        <f>Maaned!B28</f>
        <v>24</v>
      </c>
      <c r="B26" s="257" t="str">
        <f>Maaned!C28</f>
        <v>lø</v>
      </c>
      <c r="C26" s="267" t="str">
        <f>Maaned!D28</f>
        <v>weekend</v>
      </c>
      <c r="D26" s="382" t="str">
        <f>IF(Maaned!F28&gt;0,Maaned!F28,"")</f>
        <v/>
      </c>
      <c r="E26" s="380" t="str">
        <f>Maaned!E28</f>
        <v/>
      </c>
      <c r="F26" s="258">
        <f>Maaned!I28</f>
        <v>24</v>
      </c>
      <c r="G26" s="257" t="str">
        <f>Maaned!J28</f>
        <v>ti</v>
      </c>
      <c r="H26" s="267" t="str">
        <f>Maaned!K28</f>
        <v>skoledag</v>
      </c>
      <c r="I26" s="382" t="str">
        <f>IF(Maaned!M28&gt;0,Maaned!M28,"")</f>
        <v/>
      </c>
      <c r="J26" s="380" t="str">
        <f>Maaned!L28</f>
        <v/>
      </c>
      <c r="K26" s="258">
        <f>Maaned!P28</f>
        <v>24</v>
      </c>
      <c r="L26" s="257" t="str">
        <f>Maaned!Q28</f>
        <v>to</v>
      </c>
      <c r="M26" s="267" t="str">
        <f>Maaned!R28</f>
        <v>skoledag</v>
      </c>
      <c r="N26" s="385" t="str">
        <f>IF(Maaned!T28&gt;0,Maaned!T28,"")</f>
        <v/>
      </c>
      <c r="O26" s="380" t="str">
        <f>Maaned!S28</f>
        <v/>
      </c>
      <c r="P26" s="258">
        <f>Maaned!W28</f>
        <v>24</v>
      </c>
      <c r="Q26" s="257" t="str">
        <f>Maaned!X28</f>
        <v>sø</v>
      </c>
      <c r="R26" s="267" t="str">
        <f>Maaned!Y28</f>
        <v>weekend</v>
      </c>
      <c r="S26" s="385" t="str">
        <f>IF(Maaned!AA28&gt;0,Maaned!AA28,"")</f>
        <v/>
      </c>
      <c r="T26" s="380" t="str">
        <f>Maaned!Z28</f>
        <v/>
      </c>
      <c r="U26" s="258">
        <f>Maaned!AD28</f>
        <v>24</v>
      </c>
      <c r="V26" s="257" t="str">
        <f>Maaned!AE28</f>
        <v>ti</v>
      </c>
      <c r="W26" s="267" t="str">
        <f>Maaned!AF28</f>
        <v>nul-dag</v>
      </c>
      <c r="X26" s="385" t="str">
        <f>IF(Maaned!AH28&gt;0,Maaned!AH28,"")</f>
        <v>Juleaftensdag</v>
      </c>
      <c r="Y26" s="380" t="str">
        <f>Maaned!AG28</f>
        <v/>
      </c>
      <c r="Z26" s="258">
        <f>Maaned!AK28</f>
        <v>24</v>
      </c>
      <c r="AA26" s="257" t="str">
        <f>Maaned!AL28</f>
        <v>fr</v>
      </c>
      <c r="AB26" s="267" t="str">
        <f>Maaned!AM28</f>
        <v>skoledag</v>
      </c>
      <c r="AC26" s="385" t="str">
        <f>IF(Maaned!AO28&gt;0,Maaned!AO28,"")</f>
        <v/>
      </c>
      <c r="AD26" s="387" t="str">
        <f>Maaned!AN28</f>
        <v/>
      </c>
    </row>
    <row r="27" spans="1:30" ht="23" customHeight="1">
      <c r="A27" s="258">
        <f>Maaned!B29</f>
        <v>25</v>
      </c>
      <c r="B27" s="257" t="str">
        <f>Maaned!C29</f>
        <v>sø</v>
      </c>
      <c r="C27" s="267" t="str">
        <f>Maaned!D29</f>
        <v>weekend</v>
      </c>
      <c r="D27" s="382" t="str">
        <f>IF(Maaned!F29&gt;0,Maaned!F29,"")</f>
        <v/>
      </c>
      <c r="E27" s="380" t="str">
        <f>Maaned!E29</f>
        <v/>
      </c>
      <c r="F27" s="258">
        <f>Maaned!I29</f>
        <v>25</v>
      </c>
      <c r="G27" s="257" t="str">
        <f>Maaned!J29</f>
        <v>on</v>
      </c>
      <c r="H27" s="267" t="str">
        <f>Maaned!K29</f>
        <v>skoledag</v>
      </c>
      <c r="I27" s="382" t="str">
        <f>IF(Maaned!M29&gt;0,Maaned!M29,"")</f>
        <v/>
      </c>
      <c r="J27" s="380" t="str">
        <f>Maaned!L29</f>
        <v/>
      </c>
      <c r="K27" s="258">
        <f>Maaned!P29</f>
        <v>25</v>
      </c>
      <c r="L27" s="257" t="str">
        <f>Maaned!Q29</f>
        <v>fr</v>
      </c>
      <c r="M27" s="267" t="str">
        <f>Maaned!R29</f>
        <v>skoledag</v>
      </c>
      <c r="N27" s="385" t="str">
        <f>IF(Maaned!T29&gt;0,Maaned!T29,"")</f>
        <v/>
      </c>
      <c r="O27" s="380" t="str">
        <f>Maaned!S29</f>
        <v/>
      </c>
      <c r="P27" s="258">
        <f>Maaned!W29</f>
        <v>25</v>
      </c>
      <c r="Q27" s="257" t="str">
        <f>Maaned!X29</f>
        <v>ma</v>
      </c>
      <c r="R27" s="267" t="str">
        <f>Maaned!Y29</f>
        <v>skoledag</v>
      </c>
      <c r="S27" s="385" t="str">
        <f>IF(Maaned!AA29&gt;0,Maaned!AA29,"")</f>
        <v/>
      </c>
      <c r="T27" s="380">
        <f>Maaned!Z29</f>
        <v>47.857142857142854</v>
      </c>
      <c r="U27" s="258">
        <f>Maaned!AD29</f>
        <v>25</v>
      </c>
      <c r="V27" s="257" t="str">
        <f>Maaned!AE29</f>
        <v>on</v>
      </c>
      <c r="W27" s="267" t="str">
        <f>Maaned!AF29</f>
        <v>SH-dag</v>
      </c>
      <c r="X27" s="385" t="str">
        <f>IF(Maaned!AH29&gt;0,Maaned!AH29,"")</f>
        <v>1. juledag</v>
      </c>
      <c r="Y27" s="380" t="str">
        <f>Maaned!AG29</f>
        <v/>
      </c>
      <c r="Z27" s="258">
        <f>Maaned!AK29</f>
        <v>25</v>
      </c>
      <c r="AA27" s="257" t="str">
        <f>Maaned!AL29</f>
        <v>lø</v>
      </c>
      <c r="AB27" s="267" t="str">
        <f>Maaned!AM29</f>
        <v>weekend</v>
      </c>
      <c r="AC27" s="385" t="str">
        <f>IF(Maaned!AO29&gt;0,Maaned!AO29,"")</f>
        <v/>
      </c>
      <c r="AD27" s="387" t="str">
        <f>Maaned!AN29</f>
        <v/>
      </c>
    </row>
    <row r="28" spans="1:30" ht="23" customHeight="1">
      <c r="A28" s="258">
        <f>Maaned!B30</f>
        <v>26</v>
      </c>
      <c r="B28" s="257" t="str">
        <f>Maaned!C30</f>
        <v>ma</v>
      </c>
      <c r="C28" s="267" t="str">
        <f>Maaned!D30</f>
        <v>skoledag</v>
      </c>
      <c r="D28" s="382" t="str">
        <f>IF(Maaned!F30&gt;0,Maaned!F30,"")</f>
        <v/>
      </c>
      <c r="E28" s="380">
        <f>Maaned!E30</f>
        <v>34.857142857142854</v>
      </c>
      <c r="F28" s="258">
        <f>Maaned!I30</f>
        <v>26</v>
      </c>
      <c r="G28" s="257" t="str">
        <f>Maaned!J30</f>
        <v>to</v>
      </c>
      <c r="H28" s="267" t="str">
        <f>Maaned!K30</f>
        <v>skoledag</v>
      </c>
      <c r="I28" s="382" t="str">
        <f>IF(Maaned!M30&gt;0,Maaned!M30,"")</f>
        <v/>
      </c>
      <c r="J28" s="380" t="str">
        <f>Maaned!L30</f>
        <v/>
      </c>
      <c r="K28" s="258">
        <f>Maaned!P30</f>
        <v>26</v>
      </c>
      <c r="L28" s="257" t="str">
        <f>Maaned!Q30</f>
        <v>lø</v>
      </c>
      <c r="M28" s="267" t="str">
        <f>Maaned!R30</f>
        <v>weekend</v>
      </c>
      <c r="N28" s="385" t="str">
        <f>IF(Maaned!T30&gt;0,Maaned!T30,"")</f>
        <v/>
      </c>
      <c r="O28" s="380" t="str">
        <f>Maaned!S30</f>
        <v/>
      </c>
      <c r="P28" s="258">
        <f>Maaned!W30</f>
        <v>26</v>
      </c>
      <c r="Q28" s="257" t="str">
        <f>Maaned!X30</f>
        <v>ti</v>
      </c>
      <c r="R28" s="267" t="str">
        <f>Maaned!Y30</f>
        <v>skoledag</v>
      </c>
      <c r="S28" s="385" t="str">
        <f>IF(Maaned!AA30&gt;0,Maaned!AA30,"")</f>
        <v/>
      </c>
      <c r="T28" s="380" t="str">
        <f>Maaned!Z30</f>
        <v/>
      </c>
      <c r="U28" s="258">
        <f>Maaned!AD30</f>
        <v>26</v>
      </c>
      <c r="V28" s="257" t="str">
        <f>Maaned!AE30</f>
        <v>to</v>
      </c>
      <c r="W28" s="267" t="str">
        <f>Maaned!AF30</f>
        <v>SH-dag</v>
      </c>
      <c r="X28" s="385" t="str">
        <f>IF(Maaned!AH30&gt;0,Maaned!AH30,"")</f>
        <v>2. juledag</v>
      </c>
      <c r="Y28" s="380" t="str">
        <f>Maaned!AG30</f>
        <v/>
      </c>
      <c r="Z28" s="258">
        <f>Maaned!AK30</f>
        <v>26</v>
      </c>
      <c r="AA28" s="257" t="str">
        <f>Maaned!AL30</f>
        <v>sø</v>
      </c>
      <c r="AB28" s="267" t="str">
        <f>Maaned!AM30</f>
        <v>weekend</v>
      </c>
      <c r="AC28" s="385" t="str">
        <f>IF(Maaned!AO30&gt;0,Maaned!AO30,"")</f>
        <v/>
      </c>
      <c r="AD28" s="387" t="str">
        <f>Maaned!AN30</f>
        <v/>
      </c>
    </row>
    <row r="29" spans="1:30" ht="23" customHeight="1">
      <c r="A29" s="258">
        <f>Maaned!B31</f>
        <v>27</v>
      </c>
      <c r="B29" s="257" t="str">
        <f>Maaned!C31</f>
        <v>ti</v>
      </c>
      <c r="C29" s="267" t="str">
        <f>Maaned!D31</f>
        <v>skoledag</v>
      </c>
      <c r="D29" s="382" t="str">
        <f>IF(Maaned!F31&gt;0,Maaned!F31,"")</f>
        <v/>
      </c>
      <c r="E29" s="380" t="str">
        <f>Maaned!E31</f>
        <v/>
      </c>
      <c r="F29" s="258">
        <f>Maaned!I31</f>
        <v>27</v>
      </c>
      <c r="G29" s="257" t="str">
        <f>Maaned!J31</f>
        <v>fr</v>
      </c>
      <c r="H29" s="267" t="str">
        <f>Maaned!K31</f>
        <v>skoledag</v>
      </c>
      <c r="I29" s="382" t="str">
        <f>IF(Maaned!M31&gt;0,Maaned!M31,"")</f>
        <v/>
      </c>
      <c r="J29" s="380" t="str">
        <f>Maaned!L31</f>
        <v/>
      </c>
      <c r="K29" s="258">
        <f>Maaned!P31</f>
        <v>27</v>
      </c>
      <c r="L29" s="257" t="str">
        <f>Maaned!Q31</f>
        <v>sø</v>
      </c>
      <c r="M29" s="267" t="str">
        <f>Maaned!R31</f>
        <v>weekend</v>
      </c>
      <c r="N29" s="385" t="str">
        <f>IF(Maaned!T31&gt;0,Maaned!T31,"")</f>
        <v/>
      </c>
      <c r="O29" s="380" t="str">
        <f>Maaned!S31</f>
        <v/>
      </c>
      <c r="P29" s="258">
        <f>Maaned!W31</f>
        <v>27</v>
      </c>
      <c r="Q29" s="257" t="str">
        <f>Maaned!X31</f>
        <v>on</v>
      </c>
      <c r="R29" s="267" t="str">
        <f>Maaned!Y31</f>
        <v>skoledag</v>
      </c>
      <c r="S29" s="385" t="str">
        <f>IF(Maaned!AA31&gt;0,Maaned!AA31,"")</f>
        <v/>
      </c>
      <c r="T29" s="380" t="str">
        <f>Maaned!Z31</f>
        <v/>
      </c>
      <c r="U29" s="258">
        <f>Maaned!AD31</f>
        <v>27</v>
      </c>
      <c r="V29" s="257" t="str">
        <f>Maaned!AE31</f>
        <v>fr</v>
      </c>
      <c r="W29" s="267" t="str">
        <f>Maaned!AF31</f>
        <v>Nul-dag</v>
      </c>
      <c r="X29" s="385" t="str">
        <f>IF(Maaned!AH31&gt;0,Maaned!AH31,"")</f>
        <v/>
      </c>
      <c r="Y29" s="380" t="str">
        <f>Maaned!AG31</f>
        <v/>
      </c>
      <c r="Z29" s="258">
        <f>Maaned!AK31</f>
        <v>27</v>
      </c>
      <c r="AA29" s="257" t="str">
        <f>Maaned!AL31</f>
        <v>ma</v>
      </c>
      <c r="AB29" s="267" t="str">
        <f>Maaned!AM31</f>
        <v>skoledag</v>
      </c>
      <c r="AC29" s="385" t="str">
        <f>IF(Maaned!AO31&gt;0,Maaned!AO31,"")</f>
        <v/>
      </c>
      <c r="AD29" s="387">
        <f>Maaned!AN31</f>
        <v>4.7142857142857144</v>
      </c>
    </row>
    <row r="30" spans="1:30" ht="23" customHeight="1">
      <c r="A30" s="258">
        <f>Maaned!B32</f>
        <v>28</v>
      </c>
      <c r="B30" s="257" t="str">
        <f>Maaned!C32</f>
        <v>on</v>
      </c>
      <c r="C30" s="267" t="str">
        <f>Maaned!D32</f>
        <v>skoledag</v>
      </c>
      <c r="D30" s="382" t="str">
        <f>IF(Maaned!F32&gt;0,Maaned!F32,"")</f>
        <v/>
      </c>
      <c r="E30" s="380" t="str">
        <f>Maaned!E32</f>
        <v/>
      </c>
      <c r="F30" s="258">
        <f>Maaned!I32</f>
        <v>28</v>
      </c>
      <c r="G30" s="257" t="str">
        <f>Maaned!J32</f>
        <v>lø</v>
      </c>
      <c r="H30" s="267" t="str">
        <f>Maaned!K32</f>
        <v>weekend</v>
      </c>
      <c r="I30" s="382" t="str">
        <f>IF(Maaned!M32&gt;0,Maaned!M32,"")</f>
        <v/>
      </c>
      <c r="J30" s="380" t="str">
        <f>Maaned!L32</f>
        <v/>
      </c>
      <c r="K30" s="258">
        <f>Maaned!P32</f>
        <v>28</v>
      </c>
      <c r="L30" s="257" t="str">
        <f>Maaned!Q32</f>
        <v>ma</v>
      </c>
      <c r="M30" s="267" t="str">
        <f>Maaned!R32</f>
        <v>skoledag</v>
      </c>
      <c r="N30" s="385" t="str">
        <f>IF(Maaned!T32&gt;0,Maaned!T32,"")</f>
        <v/>
      </c>
      <c r="O30" s="380">
        <f>Maaned!S32</f>
        <v>43.857142857142854</v>
      </c>
      <c r="P30" s="258">
        <f>Maaned!W32</f>
        <v>28</v>
      </c>
      <c r="Q30" s="257" t="str">
        <f>Maaned!X32</f>
        <v>to</v>
      </c>
      <c r="R30" s="267" t="str">
        <f>Maaned!Y32</f>
        <v>skoledag</v>
      </c>
      <c r="S30" s="385" t="str">
        <f>IF(Maaned!AA32&gt;0,Maaned!AA32,"")</f>
        <v/>
      </c>
      <c r="T30" s="380" t="str">
        <f>Maaned!Z32</f>
        <v/>
      </c>
      <c r="U30" s="258">
        <f>Maaned!AD32</f>
        <v>28</v>
      </c>
      <c r="V30" s="257" t="str">
        <f>Maaned!AE32</f>
        <v>lø</v>
      </c>
      <c r="W30" s="267" t="str">
        <f>Maaned!AF32</f>
        <v>weekend</v>
      </c>
      <c r="X30" s="385" t="str">
        <f>IF(Maaned!AH32&gt;0,Maaned!AH32,"")</f>
        <v/>
      </c>
      <c r="Y30" s="380" t="str">
        <f>Maaned!AG32</f>
        <v/>
      </c>
      <c r="Z30" s="258">
        <f>Maaned!AK32</f>
        <v>28</v>
      </c>
      <c r="AA30" s="257" t="str">
        <f>Maaned!AL32</f>
        <v>ti</v>
      </c>
      <c r="AB30" s="267" t="str">
        <f>Maaned!AM32</f>
        <v>skoledag</v>
      </c>
      <c r="AC30" s="385" t="str">
        <f>IF(Maaned!AO32&gt;0,Maaned!AO32,"")</f>
        <v/>
      </c>
      <c r="AD30" s="387" t="str">
        <f>Maaned!AN32</f>
        <v/>
      </c>
    </row>
    <row r="31" spans="1:30" ht="23" customHeight="1">
      <c r="A31" s="258">
        <f>Maaned!B33</f>
        <v>29</v>
      </c>
      <c r="B31" s="257" t="str">
        <f>Maaned!C33</f>
        <v>to</v>
      </c>
      <c r="C31" s="267" t="str">
        <f>Maaned!D33</f>
        <v>skoledag</v>
      </c>
      <c r="D31" s="382" t="str">
        <f>IF(Maaned!F33&gt;0,Maaned!F33,"")</f>
        <v/>
      </c>
      <c r="E31" s="380" t="str">
        <f>Maaned!E33</f>
        <v/>
      </c>
      <c r="F31" s="258">
        <f>Maaned!I33</f>
        <v>29</v>
      </c>
      <c r="G31" s="257" t="str">
        <f>Maaned!J33</f>
        <v>sø</v>
      </c>
      <c r="H31" s="267" t="str">
        <f>Maaned!K33</f>
        <v>weekend</v>
      </c>
      <c r="I31" s="382" t="str">
        <f>IF(Maaned!M33&gt;0,Maaned!M33,"")</f>
        <v/>
      </c>
      <c r="J31" s="380" t="str">
        <f>Maaned!L33</f>
        <v/>
      </c>
      <c r="K31" s="258">
        <f>Maaned!P33</f>
        <v>29</v>
      </c>
      <c r="L31" s="257" t="str">
        <f>Maaned!Q33</f>
        <v>ti</v>
      </c>
      <c r="M31" s="267" t="str">
        <f>Maaned!R33</f>
        <v>skoledag</v>
      </c>
      <c r="N31" s="385" t="str">
        <f>IF(Maaned!T33&gt;0,Maaned!T33,"")</f>
        <v/>
      </c>
      <c r="O31" s="380" t="str">
        <f>Maaned!S33</f>
        <v/>
      </c>
      <c r="P31" s="258">
        <f>Maaned!W33</f>
        <v>29</v>
      </c>
      <c r="Q31" s="257" t="str">
        <f>Maaned!X33</f>
        <v>fr</v>
      </c>
      <c r="R31" s="267" t="str">
        <f>Maaned!Y33</f>
        <v>skoledag</v>
      </c>
      <c r="S31" s="385" t="str">
        <f>IF(Maaned!AA33&gt;0,Maaned!AA33,"")</f>
        <v/>
      </c>
      <c r="T31" s="380" t="str">
        <f>Maaned!Z33</f>
        <v/>
      </c>
      <c r="U31" s="258">
        <f>Maaned!AD33</f>
        <v>29</v>
      </c>
      <c r="V31" s="257" t="str">
        <f>Maaned!AE33</f>
        <v>sø</v>
      </c>
      <c r="W31" s="267" t="str">
        <f>Maaned!AF33</f>
        <v>weekend</v>
      </c>
      <c r="X31" s="385" t="str">
        <f>IF(Maaned!AH33&gt;0,Maaned!AH33,"")</f>
        <v/>
      </c>
      <c r="Y31" s="380" t="str">
        <f>Maaned!AG33</f>
        <v/>
      </c>
      <c r="Z31" s="258">
        <f>Maaned!AK33</f>
        <v>29</v>
      </c>
      <c r="AA31" s="257" t="str">
        <f>Maaned!AL33</f>
        <v>on</v>
      </c>
      <c r="AB31" s="267" t="str">
        <f>Maaned!AM33</f>
        <v>skoledag</v>
      </c>
      <c r="AC31" s="385" t="str">
        <f>IF(Maaned!AO33&gt;0,Maaned!AO33,"")</f>
        <v/>
      </c>
      <c r="AD31" s="387" t="str">
        <f>Maaned!AN33</f>
        <v/>
      </c>
    </row>
    <row r="32" spans="1:30" ht="23" customHeight="1">
      <c r="A32" s="258">
        <f>Maaned!B34</f>
        <v>30</v>
      </c>
      <c r="B32" s="257" t="str">
        <f>Maaned!C34</f>
        <v>fr</v>
      </c>
      <c r="C32" s="267" t="str">
        <f>Maaned!D34</f>
        <v>skoledag</v>
      </c>
      <c r="D32" s="382" t="str">
        <f>IF(Maaned!F34&gt;0,Maaned!F34,"")</f>
        <v/>
      </c>
      <c r="E32" s="380" t="str">
        <f>Maaned!E34</f>
        <v/>
      </c>
      <c r="F32" s="258">
        <f>Maaned!I34</f>
        <v>30</v>
      </c>
      <c r="G32" s="257" t="str">
        <f>Maaned!J34</f>
        <v>ma</v>
      </c>
      <c r="H32" s="267" t="str">
        <f>Maaned!K34</f>
        <v>skoledag</v>
      </c>
      <c r="I32" s="383" t="str">
        <f>IF(Maaned!M34&gt;0,Maaned!M34,"")</f>
        <v/>
      </c>
      <c r="J32" s="380">
        <f>Maaned!L34</f>
        <v>39.857142857142854</v>
      </c>
      <c r="K32" s="258">
        <f>Maaned!P34</f>
        <v>30</v>
      </c>
      <c r="L32" s="257" t="str">
        <f>Maaned!Q34</f>
        <v>on</v>
      </c>
      <c r="M32" s="267" t="str">
        <f>Maaned!R34</f>
        <v>skoledag</v>
      </c>
      <c r="N32" s="385" t="str">
        <f>IF(Maaned!T34&gt;0,Maaned!T34,"")</f>
        <v/>
      </c>
      <c r="O32" s="380" t="str">
        <f>Maaned!S34</f>
        <v/>
      </c>
      <c r="P32" s="258">
        <f>Maaned!W34</f>
        <v>30</v>
      </c>
      <c r="Q32" s="257" t="str">
        <f>Maaned!X34</f>
        <v>lø</v>
      </c>
      <c r="R32" s="267" t="str">
        <f>Maaned!Y34</f>
        <v>weekend</v>
      </c>
      <c r="S32" s="383" t="str">
        <f>IF(Maaned!AA34&gt;0,Maaned!AA34,"")</f>
        <v/>
      </c>
      <c r="T32" s="380" t="str">
        <f>Maaned!Z34</f>
        <v/>
      </c>
      <c r="U32" s="258">
        <f>Maaned!AD34</f>
        <v>30</v>
      </c>
      <c r="V32" s="257" t="str">
        <f>Maaned!AE34</f>
        <v>ma</v>
      </c>
      <c r="W32" s="267" t="str">
        <f>Maaned!AF34</f>
        <v>nul-dag</v>
      </c>
      <c r="X32" s="385" t="str">
        <f>IF(Maaned!AH34&gt;0,Maaned!AH34,"")</f>
        <v/>
      </c>
      <c r="Y32" s="380">
        <f>Maaned!AG34</f>
        <v>1</v>
      </c>
      <c r="Z32" s="258">
        <f>Maaned!AK34</f>
        <v>30</v>
      </c>
      <c r="AA32" s="257" t="str">
        <f>Maaned!AL34</f>
        <v>to</v>
      </c>
      <c r="AB32" s="267" t="str">
        <f>Maaned!AM34</f>
        <v>skoledag</v>
      </c>
      <c r="AC32" s="385" t="str">
        <f>IF(Maaned!AO34&gt;0,Maaned!AO34,"")</f>
        <v/>
      </c>
      <c r="AD32" s="387" t="str">
        <f>Maaned!AN34</f>
        <v/>
      </c>
    </row>
    <row r="33" spans="1:30" ht="23" customHeight="1">
      <c r="A33" s="258">
        <f>Maaned!B35</f>
        <v>31</v>
      </c>
      <c r="B33" s="257" t="str">
        <f>Maaned!C35</f>
        <v>lø</v>
      </c>
      <c r="C33" s="267" t="str">
        <f>Maaned!D35</f>
        <v>weekend</v>
      </c>
      <c r="D33" s="383" t="str">
        <f>IF(Maaned!F35&gt;0,Maaned!F35,"")</f>
        <v/>
      </c>
      <c r="E33" s="380" t="str">
        <f>Maaned!E35</f>
        <v/>
      </c>
      <c r="F33" s="146"/>
      <c r="G33" s="147"/>
      <c r="H33" s="148"/>
      <c r="I33" s="148"/>
      <c r="J33" s="149"/>
      <c r="K33" s="258">
        <f>Maaned!P35</f>
        <v>31</v>
      </c>
      <c r="L33" s="257" t="str">
        <f>Maaned!Q35</f>
        <v>to</v>
      </c>
      <c r="M33" s="267" t="str">
        <f>Maaned!R35</f>
        <v>skoledag</v>
      </c>
      <c r="N33" s="383" t="str">
        <f>IF(Maaned!T35&gt;0,Maaned!T35,"")</f>
        <v/>
      </c>
      <c r="O33" s="380" t="str">
        <f>Maaned!S35</f>
        <v/>
      </c>
      <c r="P33" s="146"/>
      <c r="Q33" s="147"/>
      <c r="R33" s="148"/>
      <c r="S33" s="148"/>
      <c r="T33" s="150"/>
      <c r="U33" s="258">
        <f>Maaned!AD35</f>
        <v>31</v>
      </c>
      <c r="V33" s="257" t="str">
        <f>Maaned!AE35</f>
        <v>ti</v>
      </c>
      <c r="W33" s="267" t="str">
        <f>Maaned!AF35</f>
        <v>nul-dag</v>
      </c>
      <c r="X33" s="383" t="str">
        <f>IF(Maaned!AH35&gt;0,Maaned!AH35,"")</f>
        <v>Nytårsaftensdag</v>
      </c>
      <c r="Y33" s="380" t="str">
        <f>Maaned!AG35</f>
        <v/>
      </c>
      <c r="Z33" s="258">
        <f>Maaned!AK35</f>
        <v>31</v>
      </c>
      <c r="AA33" s="257" t="str">
        <f>Maaned!AL35</f>
        <v>fr</v>
      </c>
      <c r="AB33" s="267" t="str">
        <f>Maaned!AM35</f>
        <v>skoledag</v>
      </c>
      <c r="AC33" s="383" t="str">
        <f>IF(Maaned!AO35&gt;0,Maaned!AO35,"")</f>
        <v/>
      </c>
      <c r="AD33" s="388" t="str">
        <f>Maaned!AN35</f>
        <v/>
      </c>
    </row>
    <row r="34" spans="1:30" ht="23" customHeight="1" thickBot="1">
      <c r="A34" s="151"/>
      <c r="B34" s="151"/>
      <c r="C34" s="151"/>
      <c r="D34" s="151"/>
      <c r="E34" s="151"/>
      <c r="F34" s="152"/>
      <c r="G34" s="152"/>
      <c r="H34" s="152"/>
      <c r="I34" s="152"/>
      <c r="J34" s="152"/>
      <c r="K34" s="151"/>
      <c r="L34" s="151"/>
      <c r="M34" s="151"/>
      <c r="N34" s="151"/>
      <c r="O34" s="151"/>
      <c r="P34" s="152"/>
      <c r="Q34" s="152"/>
      <c r="R34" s="152"/>
      <c r="S34" s="152"/>
      <c r="T34" s="152"/>
      <c r="U34" s="151"/>
      <c r="V34" s="151"/>
      <c r="W34" s="151"/>
      <c r="X34" s="151"/>
      <c r="Y34" s="151"/>
      <c r="Z34" s="153"/>
      <c r="AA34" s="153"/>
      <c r="AB34" s="151"/>
      <c r="AC34" s="151"/>
      <c r="AD34" s="154"/>
    </row>
    <row r="35" spans="1:30" ht="31" customHeight="1" thickBot="1">
      <c r="A35" s="612" t="str">
        <f>"I alt for hele skoleåret "&amp;Vejledning2019!A2&amp;""</f>
        <v>I alt for hele skoleåret 2019/20</v>
      </c>
      <c r="B35" s="613"/>
      <c r="C35" s="613"/>
      <c r="D35" s="613"/>
      <c r="E35" s="613"/>
      <c r="F35" s="613"/>
      <c r="G35" s="613"/>
      <c r="H35" s="613"/>
      <c r="I35" s="613"/>
      <c r="J35" s="613"/>
      <c r="K35" s="613"/>
      <c r="L35" s="613"/>
      <c r="M35" s="613"/>
      <c r="N35" s="613"/>
      <c r="O35" s="613"/>
      <c r="P35" s="613"/>
      <c r="Q35" s="613"/>
      <c r="R35" s="613"/>
      <c r="S35" s="613"/>
      <c r="T35" s="613"/>
      <c r="U35" s="614"/>
      <c r="V35" s="348"/>
      <c r="W35" s="349"/>
      <c r="X35" s="345"/>
      <c r="Y35" s="309"/>
      <c r="Z35" s="310"/>
      <c r="AA35" s="310"/>
      <c r="AB35" s="309"/>
      <c r="AC35" s="309"/>
      <c r="AD35" s="308"/>
    </row>
    <row r="36" spans="1:30" ht="23" customHeight="1">
      <c r="A36" s="617" t="s">
        <v>238</v>
      </c>
      <c r="B36" s="618"/>
      <c r="C36" s="618"/>
      <c r="D36" s="618"/>
      <c r="E36" s="618"/>
      <c r="F36" s="618"/>
      <c r="G36" s="618"/>
      <c r="H36" s="436">
        <f>Maaned!CJ26</f>
        <v>200</v>
      </c>
      <c r="I36" s="487"/>
      <c r="J36" s="487"/>
      <c r="K36" s="487"/>
      <c r="L36" s="487"/>
      <c r="M36" s="487"/>
      <c r="N36" s="619" t="s">
        <v>237</v>
      </c>
      <c r="O36" s="620"/>
      <c r="P36" s="620"/>
      <c r="Q36" s="620"/>
      <c r="R36" s="620"/>
      <c r="S36" s="620"/>
      <c r="T36" s="620"/>
      <c r="U36" s="486">
        <f>Maaned!CJ29</f>
        <v>0</v>
      </c>
      <c r="V36" s="346"/>
      <c r="W36" s="309"/>
      <c r="X36" s="310"/>
      <c r="Y36" s="310"/>
      <c r="Z36" s="309"/>
      <c r="AA36" s="309"/>
      <c r="AB36" s="308"/>
      <c r="AC36" s="143"/>
      <c r="AD36" s="143"/>
    </row>
    <row r="37" spans="1:30" ht="23" customHeight="1">
      <c r="A37" s="621" t="s">
        <v>236</v>
      </c>
      <c r="B37" s="622"/>
      <c r="C37" s="622"/>
      <c r="D37" s="622"/>
      <c r="E37" s="622"/>
      <c r="F37" s="622"/>
      <c r="G37" s="622"/>
      <c r="H37" s="483">
        <f>Maaned!CJ27</f>
        <v>0</v>
      </c>
      <c r="I37" s="488"/>
      <c r="J37" s="488"/>
      <c r="K37" s="488"/>
      <c r="L37" s="488"/>
      <c r="M37" s="488"/>
      <c r="N37" s="490" t="s">
        <v>304</v>
      </c>
      <c r="O37" s="629">
        <f>Maaned!CJ30</f>
        <v>104</v>
      </c>
      <c r="P37" s="629"/>
      <c r="Q37" s="629"/>
      <c r="R37" s="476" t="s">
        <v>305</v>
      </c>
      <c r="S37" s="476"/>
      <c r="T37" s="625">
        <f>Maaned!CJ31</f>
        <v>9</v>
      </c>
      <c r="U37" s="626"/>
      <c r="V37" s="346"/>
      <c r="W37" s="309"/>
      <c r="X37" s="310"/>
      <c r="Y37" s="310"/>
      <c r="Z37" s="309"/>
      <c r="AA37" s="309"/>
      <c r="AB37" s="308"/>
      <c r="AC37" s="143"/>
      <c r="AD37" s="143"/>
    </row>
    <row r="38" spans="1:30" ht="23" customHeight="1">
      <c r="A38" s="623" t="s">
        <v>243</v>
      </c>
      <c r="B38" s="624"/>
      <c r="C38" s="624"/>
      <c r="D38" s="624"/>
      <c r="E38" s="624"/>
      <c r="F38" s="624"/>
      <c r="G38" s="624"/>
      <c r="H38" s="484">
        <f>Maaned!CJ28</f>
        <v>0</v>
      </c>
      <c r="I38" s="488"/>
      <c r="J38" s="488"/>
      <c r="K38" s="488"/>
      <c r="L38" s="488"/>
      <c r="M38" s="488"/>
      <c r="N38" s="528" t="s">
        <v>357</v>
      </c>
      <c r="O38" s="627">
        <f>Maaned!CJ32</f>
        <v>21</v>
      </c>
      <c r="P38" s="627"/>
      <c r="Q38" s="628"/>
      <c r="R38" s="513" t="s">
        <v>358</v>
      </c>
      <c r="S38" s="513"/>
      <c r="T38" s="513"/>
      <c r="U38" s="514">
        <f>Maaned!CJ34</f>
        <v>0</v>
      </c>
      <c r="V38" s="347"/>
      <c r="W38" s="309"/>
      <c r="X38" s="310"/>
      <c r="Y38" s="310"/>
      <c r="Z38" s="309"/>
      <c r="AA38" s="309"/>
      <c r="AB38" s="308"/>
      <c r="AC38" s="143"/>
      <c r="AD38" s="143"/>
    </row>
    <row r="39" spans="1:30" ht="23" customHeight="1" thickBot="1">
      <c r="A39" s="474" t="s">
        <v>331</v>
      </c>
      <c r="B39" s="475"/>
      <c r="C39" s="475"/>
      <c r="D39" s="475"/>
      <c r="E39" s="475"/>
      <c r="F39" s="475"/>
      <c r="G39" s="475"/>
      <c r="H39" s="485">
        <f>SUM(H36:H38)</f>
        <v>200</v>
      </c>
      <c r="I39" s="489"/>
      <c r="J39" s="489"/>
      <c r="K39" s="489"/>
      <c r="L39" s="489"/>
      <c r="M39" s="489"/>
      <c r="N39" s="615" t="s">
        <v>366</v>
      </c>
      <c r="O39" s="616"/>
      <c r="P39" s="616"/>
      <c r="Q39" s="616"/>
      <c r="R39" s="616"/>
      <c r="S39" s="616"/>
      <c r="T39" s="616"/>
      <c r="U39" s="477">
        <f>Maaned!CJ33</f>
        <v>32</v>
      </c>
      <c r="V39" s="346"/>
      <c r="W39" s="309"/>
      <c r="X39" s="310"/>
      <c r="Y39" s="310"/>
      <c r="Z39" s="309"/>
      <c r="AA39" s="309"/>
      <c r="AB39" s="308"/>
      <c r="AC39" s="143"/>
      <c r="AD39" s="143"/>
    </row>
    <row r="40" spans="1:30" ht="15" customHeight="1">
      <c r="B40" s="157"/>
      <c r="C40" s="155"/>
      <c r="D40" s="155"/>
      <c r="E40" s="156"/>
      <c r="G40" s="157"/>
      <c r="H40" s="155"/>
      <c r="I40" s="155"/>
      <c r="J40" s="158"/>
      <c r="K40" s="157"/>
      <c r="L40" s="155"/>
      <c r="M40" s="156"/>
      <c r="N40" s="156"/>
      <c r="O40" s="156"/>
      <c r="P40" s="157"/>
      <c r="Q40" s="155"/>
      <c r="R40" s="158"/>
      <c r="S40" s="158"/>
      <c r="T40" s="157"/>
      <c r="U40" s="155"/>
      <c r="W40" s="156"/>
      <c r="X40" s="156"/>
      <c r="Y40" s="157"/>
      <c r="Z40" s="155"/>
      <c r="AA40" s="143"/>
      <c r="AB40" s="143"/>
      <c r="AC40" s="143"/>
      <c r="AD40" s="143"/>
    </row>
    <row r="41" spans="1:30" ht="15" customHeight="1"/>
  </sheetData>
  <sheetProtection sheet="1" objects="1" scenarios="1" formatCells="0" formatColumns="0" formatRows="0" insertColumns="0"/>
  <mergeCells count="9">
    <mergeCell ref="A35:U35"/>
    <mergeCell ref="N39:T39"/>
    <mergeCell ref="A36:G36"/>
    <mergeCell ref="N36:T36"/>
    <mergeCell ref="A37:G37"/>
    <mergeCell ref="A38:G38"/>
    <mergeCell ref="T37:U37"/>
    <mergeCell ref="O38:Q38"/>
    <mergeCell ref="O37:Q37"/>
  </mergeCells>
  <phoneticPr fontId="5" type="noConversion"/>
  <printOptions horizontalCentered="1" verticalCentered="1"/>
  <pageMargins left="0.35433070866141736" right="0.35433070866141736" top="0.39370078740157483" bottom="0.39370078740157483" header="0.11811023622047245" footer="0.11811023622047245"/>
  <pageSetup paperSize="9" scale="36" orientation="portrait" horizontalDpi="4294967292" verticalDpi="4294967292"/>
  <ignoredErrors>
    <ignoredError sqref="A1:AD33" unlockedFormula="1"/>
  </ignoredErrors>
  <drawing r:id="rId1"/>
  <extLst>
    <ext xmlns:x14="http://schemas.microsoft.com/office/spreadsheetml/2009/9/main" uri="{78C0D931-6437-407d-A8EE-F0AAD7539E65}">
      <x14:conditionalFormattings>
        <x14:conditionalFormatting xmlns:xm="http://schemas.microsoft.com/office/excel/2006/main">
          <x14:cfRule type="expression" priority="6" id="{AF9AE05E-3605-5E4C-893C-6819AB1EE948}">
            <xm:f>OR(Maaned!$D5="Ikke relevant")</xm:f>
            <x14:dxf>
              <font>
                <color theme="0"/>
              </font>
              <fill>
                <patternFill>
                  <bgColor theme="1"/>
                </patternFill>
              </fill>
            </x14:dxf>
          </x14:cfRule>
          <x14:cfRule type="expression" priority="77" id="{B78C599E-77F1-D644-9FE9-ABD5FC8F382C}">
            <xm:f>OR(Maaned!$D5="pæd.dag")</xm:f>
            <x14:dxf>
              <font>
                <color theme="1"/>
              </font>
              <fill>
                <patternFill>
                  <bgColor theme="7" tint="0.39994506668294322"/>
                </patternFill>
              </fill>
            </x14:dxf>
          </x14:cfRule>
          <x14:cfRule type="expression" priority="78" id="{CDFF70CE-D945-F741-ADF6-03C1B6832B46}">
            <xm:f>OR(Maaned!$D5="nul-dag")</xm:f>
            <x14:dxf>
              <font>
                <color theme="1"/>
              </font>
              <fill>
                <patternFill>
                  <bgColor theme="3" tint="0.59996337778862885"/>
                </patternFill>
              </fill>
            </x14:dxf>
          </x14:cfRule>
          <x14:cfRule type="expression" priority="79" id="{C726354F-05C3-9C43-946C-A3FB6A43F70E}">
            <xm:f>OR(Maaned!$D5="SH-dag")</xm:f>
            <x14:dxf>
              <font>
                <color theme="1"/>
              </font>
              <fill>
                <patternFill>
                  <bgColor rgb="FFFF2F82"/>
                </patternFill>
              </fill>
            </x14:dxf>
          </x14:cfRule>
          <x14:cfRule type="expression" priority="80" id="{56138BA0-8BE0-4047-9775-0C98271CE80A}">
            <xm:f>OR(Maaned!$D5="ekskursion")</xm:f>
            <x14:dxf>
              <font>
                <color theme="1"/>
              </font>
              <fill>
                <patternFill>
                  <bgColor rgb="FFFFFF00"/>
                </patternFill>
              </fill>
            </x14:dxf>
          </x14:cfRule>
          <x14:cfRule type="expression" priority="81" id="{B3976725-7BC8-274D-A17A-06C54196C59B}">
            <xm:f>OR(Maaned!$D5="lejrskole")</xm:f>
            <x14:dxf>
              <font>
                <color theme="1"/>
              </font>
              <fill>
                <patternFill>
                  <bgColor theme="8" tint="0.59996337778862885"/>
                </patternFill>
              </fill>
            </x14:dxf>
          </x14:cfRule>
          <x14:cfRule type="expression" priority="82" id="{BED33284-DDF4-564F-A68F-1D8DD9E13F5F}">
            <xm:f>OR(Maaned!$D5="emnedag")</xm:f>
            <x14:dxf>
              <font>
                <color theme="1"/>
              </font>
              <fill>
                <patternFill>
                  <bgColor theme="5" tint="0.59996337778862885"/>
                </patternFill>
              </fill>
            </x14:dxf>
          </x14:cfRule>
          <x14:cfRule type="expression" priority="83" id="{723F6421-6944-B64B-9A9F-457A9003CABE}">
            <xm:f>OR(Maaned!$D5="fagdag")</xm:f>
            <x14:dxf>
              <font>
                <color theme="1"/>
              </font>
              <fill>
                <patternFill>
                  <bgColor theme="9" tint="0.59996337778862885"/>
                </patternFill>
              </fill>
            </x14:dxf>
          </x14:cfRule>
          <x14:cfRule type="expression" priority="84" id="{BDDE1528-B4C8-F547-9572-1788BDC0DBD0}">
            <xm:f>OR(Maaned!$D5="feriedag")</xm:f>
            <x14:dxf>
              <font>
                <color theme="1"/>
              </font>
              <fill>
                <patternFill>
                  <bgColor theme="6" tint="0.39994506668294322"/>
                </patternFill>
              </fill>
            </x14:dxf>
          </x14:cfRule>
          <x14:cfRule type="expression" priority="85" id="{3D435629-D562-1843-BC8C-C49FD76A418A}">
            <xm:f>OR(Maaned!$D5="weekend")</xm:f>
            <x14:dxf>
              <font>
                <color theme="1"/>
              </font>
              <fill>
                <patternFill>
                  <bgColor theme="0" tint="-0.14996795556505021"/>
                </patternFill>
              </fill>
            </x14:dxf>
          </x14:cfRule>
          <x14:cfRule type="expression" priority="86" stopIfTrue="1" id="{7E088C76-2C1B-4A4B-B72F-8E38A511E840}">
            <xm:f>OR(Maaned!$D5="skoledag")</xm:f>
            <x14:dxf>
              <font>
                <color theme="1"/>
              </font>
              <fill>
                <patternFill patternType="none">
                  <bgColor auto="1"/>
                </patternFill>
              </fill>
            </x14:dxf>
          </x14:cfRule>
          <xm:sqref>A3:E33</xm:sqref>
        </x14:conditionalFormatting>
        <x14:conditionalFormatting xmlns:xm="http://schemas.microsoft.com/office/excel/2006/main">
          <x14:cfRule type="expression" priority="5" id="{ED26B2E1-0B14-3C45-AF63-E47A1587C77B}">
            <xm:f>OR(Maaned!$K5="Ikke relevant")</xm:f>
            <x14:dxf>
              <font>
                <color theme="0"/>
              </font>
              <fill>
                <patternFill>
                  <bgColor theme="1"/>
                </patternFill>
              </fill>
            </x14:dxf>
          </x14:cfRule>
          <x14:cfRule type="expression" priority="72" id="{A8990905-205C-FF44-8F8F-FEFDE39B50C0}">
            <xm:f>OR(Maaned!$K5="emnedag")</xm:f>
            <x14:dxf>
              <font>
                <color theme="1"/>
              </font>
              <fill>
                <patternFill>
                  <bgColor theme="5" tint="0.59996337778862885"/>
                </patternFill>
              </fill>
            </x14:dxf>
          </x14:cfRule>
          <x14:cfRule type="expression" priority="73" id="{7078B40A-5F8B-4143-80AA-1AEA7E8FB8A5}">
            <xm:f>OR(Maaned!$K5="fagdag")</xm:f>
            <x14:dxf>
              <font>
                <color theme="1"/>
              </font>
              <fill>
                <patternFill>
                  <bgColor theme="9" tint="0.59996337778862885"/>
                </patternFill>
              </fill>
            </x14:dxf>
          </x14:cfRule>
          <x14:cfRule type="expression" priority="74" id="{3AFDEDB1-87B0-3F45-9813-D01DCEBC4125}">
            <xm:f>OR(Maaned!$K5="feriedag")</xm:f>
            <x14:dxf>
              <font>
                <color theme="1"/>
              </font>
              <fill>
                <patternFill>
                  <bgColor theme="6" tint="0.39994506668294322"/>
                </patternFill>
              </fill>
            </x14:dxf>
          </x14:cfRule>
          <x14:cfRule type="expression" priority="75" id="{F83E5E55-9C4E-3C4E-BD25-E6F58D8EC187}">
            <xm:f>OR(Maaned!$K5="weekend")</xm:f>
            <x14:dxf>
              <font>
                <color theme="1"/>
              </font>
              <fill>
                <patternFill>
                  <bgColor theme="0" tint="-0.14996795556505021"/>
                </patternFill>
              </fill>
            </x14:dxf>
          </x14:cfRule>
          <x14:cfRule type="expression" priority="76" stopIfTrue="1" id="{FE91662E-4ED5-BC4E-9D99-6C70386FD5E4}">
            <xm:f>OR(Maaned!$K5="skoledag")</xm:f>
            <x14:dxf>
              <font>
                <color theme="1"/>
              </font>
              <fill>
                <patternFill patternType="none">
                  <bgColor auto="1"/>
                </patternFill>
              </fill>
            </x14:dxf>
          </x14:cfRule>
          <xm:sqref>F3:J32</xm:sqref>
        </x14:conditionalFormatting>
        <x14:conditionalFormatting xmlns:xm="http://schemas.microsoft.com/office/excel/2006/main">
          <x14:cfRule type="expression" priority="57" id="{DEF77C88-BD3C-6A45-8EEB-7A961DF3A37E}">
            <xm:f>OR(Maaned!$K5="pæd.dag")</xm:f>
            <x14:dxf>
              <font>
                <color theme="1"/>
              </font>
              <fill>
                <patternFill>
                  <bgColor theme="7" tint="0.39994506668294322"/>
                </patternFill>
              </fill>
            </x14:dxf>
          </x14:cfRule>
          <x14:cfRule type="expression" priority="58" id="{DB8C7910-6163-4B4D-9819-AFD0627DBD4D}">
            <xm:f>OR(Maaned!$K5="nul-dag")</xm:f>
            <x14:dxf>
              <font>
                <color theme="1"/>
              </font>
              <fill>
                <patternFill>
                  <bgColor theme="3" tint="0.59996337778862885"/>
                </patternFill>
              </fill>
            </x14:dxf>
          </x14:cfRule>
          <x14:cfRule type="expression" priority="59" id="{D026F715-A777-1349-B41E-F963FD6F7EA9}">
            <xm:f>OR(Maaned!$K5="SH-dag")</xm:f>
            <x14:dxf>
              <font>
                <color theme="1"/>
              </font>
              <fill>
                <patternFill>
                  <bgColor rgb="FFFF2F82"/>
                </patternFill>
              </fill>
            </x14:dxf>
          </x14:cfRule>
          <x14:cfRule type="expression" priority="60" id="{EEADB28C-23C5-7D4E-B286-683226DD38E4}">
            <xm:f>OR(Maaned!$K5="ekskursion")</xm:f>
            <x14:dxf>
              <font>
                <color theme="1"/>
              </font>
              <fill>
                <patternFill>
                  <bgColor rgb="FFFFFF00"/>
                </patternFill>
              </fill>
            </x14:dxf>
          </x14:cfRule>
          <x14:cfRule type="expression" priority="61" id="{6D234B6D-EBA5-3540-99F2-50B173C63F8E}">
            <xm:f>OR(Maaned!$K5="lejrskole")</xm:f>
            <x14:dxf>
              <font>
                <color theme="1"/>
              </font>
              <fill>
                <patternFill>
                  <bgColor theme="8" tint="0.59996337778862885"/>
                </patternFill>
              </fill>
            </x14:dxf>
          </x14:cfRule>
          <xm:sqref>F3:J32</xm:sqref>
        </x14:conditionalFormatting>
        <x14:conditionalFormatting xmlns:xm="http://schemas.microsoft.com/office/excel/2006/main">
          <x14:cfRule type="expression" priority="4" id="{81C04EAD-82C5-6845-A88A-C40691238A86}">
            <xm:f>OR(Maaned!$R5="Ikke relevant")</xm:f>
            <x14:dxf>
              <font>
                <color theme="0"/>
              </font>
              <fill>
                <patternFill>
                  <bgColor theme="1"/>
                </patternFill>
              </fill>
            </x14:dxf>
          </x14:cfRule>
          <x14:cfRule type="expression" priority="42" id="{709B2BB9-B1AA-814F-A84B-19E766EE7C43}">
            <xm:f>OR(Maaned!$R5="emnedag")</xm:f>
            <x14:dxf>
              <font>
                <color theme="1"/>
              </font>
              <fill>
                <patternFill>
                  <bgColor theme="5" tint="0.59996337778862885"/>
                </patternFill>
              </fill>
            </x14:dxf>
          </x14:cfRule>
          <x14:cfRule type="expression" priority="43" id="{0C13C227-FB10-F94F-A80B-B1E19DFE6F84}">
            <xm:f>OR(Maaned!$R5="fagdag")</xm:f>
            <x14:dxf>
              <font>
                <color theme="1"/>
              </font>
              <fill>
                <patternFill>
                  <bgColor theme="9" tint="0.59996337778862885"/>
                </patternFill>
              </fill>
            </x14:dxf>
          </x14:cfRule>
          <x14:cfRule type="expression" priority="44" id="{92238027-AC6B-5740-8C00-B99B2AA7D005}">
            <xm:f>OR(Maaned!$R5="feriedag")</xm:f>
            <x14:dxf>
              <font>
                <color theme="1"/>
              </font>
              <fill>
                <patternFill>
                  <bgColor theme="6" tint="0.39994506668294322"/>
                </patternFill>
              </fill>
            </x14:dxf>
          </x14:cfRule>
          <x14:cfRule type="expression" priority="45" id="{B23AAC2D-795E-5B49-BBFA-D2542B158A75}">
            <xm:f>OR(Maaned!$R5="weekend")</xm:f>
            <x14:dxf>
              <font>
                <color theme="1"/>
              </font>
              <fill>
                <patternFill>
                  <bgColor theme="0" tint="-0.14996795556505021"/>
                </patternFill>
              </fill>
            </x14:dxf>
          </x14:cfRule>
          <x14:cfRule type="expression" priority="46" stopIfTrue="1" id="{21A4F459-3DCB-D341-934C-B6DE5F98A19C}">
            <xm:f>OR(Maaned!$R5="skoledag")</xm:f>
            <x14:dxf>
              <font>
                <color theme="1"/>
              </font>
              <fill>
                <patternFill patternType="none">
                  <bgColor auto="1"/>
                </patternFill>
              </fill>
            </x14:dxf>
          </x14:cfRule>
          <xm:sqref>K3:O33</xm:sqref>
        </x14:conditionalFormatting>
        <x14:conditionalFormatting xmlns:xm="http://schemas.microsoft.com/office/excel/2006/main">
          <x14:cfRule type="expression" priority="37" id="{B6C307A1-5DEC-0B42-8D75-84080930A7A4}">
            <xm:f>OR(Maaned!$R5="pæd.dag")</xm:f>
            <x14:dxf>
              <font>
                <color theme="1"/>
              </font>
              <fill>
                <patternFill>
                  <bgColor theme="7" tint="0.39994506668294322"/>
                </patternFill>
              </fill>
            </x14:dxf>
          </x14:cfRule>
          <x14:cfRule type="expression" priority="38" id="{6A855BD0-BA5F-C34B-B9C3-B5D46D20C054}">
            <xm:f>OR(Maaned!$R5="nul-dag")</xm:f>
            <x14:dxf>
              <font>
                <color theme="1"/>
              </font>
              <fill>
                <patternFill>
                  <bgColor theme="3" tint="0.59996337778862885"/>
                </patternFill>
              </fill>
            </x14:dxf>
          </x14:cfRule>
          <x14:cfRule type="expression" priority="39" id="{8AD9A72B-B3A5-4A45-9A4B-A2CCEEAA5CCB}">
            <xm:f>OR(Maaned!$R5="SH-dag")</xm:f>
            <x14:dxf>
              <font>
                <color theme="1"/>
              </font>
              <fill>
                <patternFill>
                  <bgColor rgb="FFFF2F82"/>
                </patternFill>
              </fill>
            </x14:dxf>
          </x14:cfRule>
          <x14:cfRule type="expression" priority="40" id="{37B2E358-D61F-4D4A-83D5-A34D1F5B5CFD}">
            <xm:f>OR(Maaned!$R5="ekskursion")</xm:f>
            <x14:dxf>
              <font>
                <color theme="1"/>
              </font>
              <fill>
                <patternFill>
                  <bgColor rgb="FFFFFF00"/>
                </patternFill>
              </fill>
            </x14:dxf>
          </x14:cfRule>
          <x14:cfRule type="expression" priority="41" id="{D8C38FF2-1905-C041-B360-E398BC807807}">
            <xm:f>OR(Maaned!$R5="lejrskole")</xm:f>
            <x14:dxf>
              <font>
                <color theme="1"/>
              </font>
              <fill>
                <patternFill>
                  <bgColor theme="8" tint="0.59996337778862885"/>
                </patternFill>
              </fill>
            </x14:dxf>
          </x14:cfRule>
          <xm:sqref>K3:O33</xm:sqref>
        </x14:conditionalFormatting>
        <x14:conditionalFormatting xmlns:xm="http://schemas.microsoft.com/office/excel/2006/main">
          <x14:cfRule type="expression" priority="3" id="{A170BAD0-3D79-FB41-B5D8-84995AE84347}">
            <xm:f>OR(Maaned!$Y5="Ikke relevant")</xm:f>
            <x14:dxf>
              <font>
                <color theme="0"/>
              </font>
              <fill>
                <patternFill>
                  <bgColor theme="1"/>
                </patternFill>
              </fill>
            </x14:dxf>
          </x14:cfRule>
          <x14:cfRule type="expression" priority="32" id="{3B5C389C-3B05-4E44-A6F5-C3F1A1F27D69}">
            <xm:f>OR(Maaned!$Y5="emnedag")</xm:f>
            <x14:dxf>
              <font>
                <color theme="1"/>
              </font>
              <fill>
                <patternFill>
                  <bgColor theme="5" tint="0.59996337778862885"/>
                </patternFill>
              </fill>
            </x14:dxf>
          </x14:cfRule>
          <x14:cfRule type="expression" priority="33" id="{3F74E116-1BCF-674C-ADEA-3F09A8626D16}">
            <xm:f>OR(Maaned!$Y5="fagdag")</xm:f>
            <x14:dxf>
              <font>
                <color theme="1"/>
              </font>
              <fill>
                <patternFill>
                  <bgColor theme="9" tint="0.59996337778862885"/>
                </patternFill>
              </fill>
            </x14:dxf>
          </x14:cfRule>
          <x14:cfRule type="expression" priority="34" id="{3748DFC3-871A-A943-A15C-451B4B624013}">
            <xm:f>OR(Maaned!$Y5="feriedag")</xm:f>
            <x14:dxf>
              <font>
                <color theme="1"/>
              </font>
              <fill>
                <patternFill>
                  <bgColor theme="6" tint="0.39994506668294322"/>
                </patternFill>
              </fill>
            </x14:dxf>
          </x14:cfRule>
          <x14:cfRule type="expression" priority="35" id="{DCA403BE-4695-E243-9B31-CDE573D32BF5}">
            <xm:f>OR(Maaned!$Y5="weekend")</xm:f>
            <x14:dxf>
              <font>
                <color theme="1"/>
              </font>
              <fill>
                <patternFill>
                  <bgColor theme="0" tint="-0.14996795556505021"/>
                </patternFill>
              </fill>
            </x14:dxf>
          </x14:cfRule>
          <x14:cfRule type="expression" priority="36" stopIfTrue="1" id="{24164010-B51D-2D40-ACA9-B60FB02B040C}">
            <xm:f>OR(Maaned!$Y5="skoledag")</xm:f>
            <x14:dxf>
              <font>
                <color theme="1"/>
              </font>
              <fill>
                <patternFill patternType="none">
                  <bgColor auto="1"/>
                </patternFill>
              </fill>
            </x14:dxf>
          </x14:cfRule>
          <xm:sqref>P3:T32</xm:sqref>
        </x14:conditionalFormatting>
        <x14:conditionalFormatting xmlns:xm="http://schemas.microsoft.com/office/excel/2006/main">
          <x14:cfRule type="expression" priority="27" id="{CED4A093-82D9-C644-B41E-DD3A41825021}">
            <xm:f>OR(Maaned!$Y5="pæd.dag")</xm:f>
            <x14:dxf>
              <font>
                <color theme="1"/>
              </font>
              <fill>
                <patternFill>
                  <bgColor theme="7" tint="0.39994506668294322"/>
                </patternFill>
              </fill>
            </x14:dxf>
          </x14:cfRule>
          <x14:cfRule type="expression" priority="28" id="{0E350EAE-BD99-3A46-9436-D482887C3178}">
            <xm:f>OR(Maaned!$Y5="nul-dag")</xm:f>
            <x14:dxf>
              <font>
                <color theme="1"/>
              </font>
              <fill>
                <patternFill>
                  <bgColor theme="3" tint="0.59996337778862885"/>
                </patternFill>
              </fill>
            </x14:dxf>
          </x14:cfRule>
          <x14:cfRule type="expression" priority="29" id="{63CD135A-29CA-194D-840C-48CAFE0078F0}">
            <xm:f>OR(Maaned!$Y5="SH-dag")</xm:f>
            <x14:dxf>
              <font>
                <color theme="1"/>
              </font>
              <fill>
                <patternFill>
                  <bgColor rgb="FFFF2F82"/>
                </patternFill>
              </fill>
            </x14:dxf>
          </x14:cfRule>
          <x14:cfRule type="expression" priority="30" id="{B2597A19-09A9-1A4F-A327-F393C182067B}">
            <xm:f>OR(Maaned!$Y5="ekskursion")</xm:f>
            <x14:dxf>
              <font>
                <color theme="1"/>
              </font>
              <fill>
                <patternFill>
                  <bgColor rgb="FFFFFF00"/>
                </patternFill>
              </fill>
            </x14:dxf>
          </x14:cfRule>
          <x14:cfRule type="expression" priority="31" id="{55362959-AF26-2744-85D8-C7595B5E2976}">
            <xm:f>OR(Maaned!$Y5="lejrskole")</xm:f>
            <x14:dxf>
              <font>
                <color theme="1"/>
              </font>
              <fill>
                <patternFill>
                  <bgColor theme="8" tint="0.59996337778862885"/>
                </patternFill>
              </fill>
            </x14:dxf>
          </x14:cfRule>
          <xm:sqref>P3:T32</xm:sqref>
        </x14:conditionalFormatting>
        <x14:conditionalFormatting xmlns:xm="http://schemas.microsoft.com/office/excel/2006/main">
          <x14:cfRule type="expression" priority="2" id="{9B0E3D34-4C10-B641-9750-3FD87A54691D}">
            <xm:f>OR(Maaned!$AF5="Ikke relevant")</xm:f>
            <x14:dxf>
              <font>
                <color theme="0"/>
              </font>
              <fill>
                <patternFill>
                  <bgColor theme="1"/>
                </patternFill>
              </fill>
            </x14:dxf>
          </x14:cfRule>
          <x14:cfRule type="expression" priority="22" id="{31D0F7ED-008C-A643-9630-E35BCC2D5713}">
            <xm:f>OR(Maaned!$AF5="emnedag")</xm:f>
            <x14:dxf>
              <font>
                <color theme="1"/>
              </font>
              <fill>
                <patternFill>
                  <bgColor theme="5" tint="0.59996337778862885"/>
                </patternFill>
              </fill>
            </x14:dxf>
          </x14:cfRule>
          <x14:cfRule type="expression" priority="23" id="{CA67FB30-F316-FD41-AA7D-A3FFA6ACA202}">
            <xm:f>OR(Maaned!$AF5="fagdag")</xm:f>
            <x14:dxf>
              <font>
                <color theme="1"/>
              </font>
              <fill>
                <patternFill>
                  <bgColor theme="9" tint="0.59996337778862885"/>
                </patternFill>
              </fill>
            </x14:dxf>
          </x14:cfRule>
          <x14:cfRule type="expression" priority="24" id="{3B95DC54-79FB-6E4F-8DC6-A7F8452A83D1}">
            <xm:f>OR(Maaned!$AF5="feriedag")</xm:f>
            <x14:dxf>
              <font>
                <color theme="1"/>
              </font>
              <fill>
                <patternFill>
                  <bgColor theme="6" tint="0.39994506668294322"/>
                </patternFill>
              </fill>
            </x14:dxf>
          </x14:cfRule>
          <x14:cfRule type="expression" priority="25" id="{BDCCCECE-18A6-DD4D-8287-DDB782F9579C}">
            <xm:f>OR(Maaned!$AF5="weekend")</xm:f>
            <x14:dxf>
              <font>
                <color theme="1"/>
              </font>
              <fill>
                <patternFill>
                  <bgColor theme="0" tint="-0.14996795556505021"/>
                </patternFill>
              </fill>
            </x14:dxf>
          </x14:cfRule>
          <x14:cfRule type="expression" priority="26" stopIfTrue="1" id="{D358BCF8-85AC-BA40-A836-B48949AC57B2}">
            <xm:f>OR(Maaned!$AF5="skoledag")</xm:f>
            <x14:dxf>
              <font>
                <color theme="1"/>
              </font>
              <fill>
                <patternFill patternType="none">
                  <bgColor auto="1"/>
                </patternFill>
              </fill>
            </x14:dxf>
          </x14:cfRule>
          <xm:sqref>U3:Y33</xm:sqref>
        </x14:conditionalFormatting>
        <x14:conditionalFormatting xmlns:xm="http://schemas.microsoft.com/office/excel/2006/main">
          <x14:cfRule type="expression" priority="17" id="{07ADBFA5-B73D-CF41-95CD-1AFA8C6192DD}">
            <xm:f>OR(Maaned!$AF5="pæd.dag")</xm:f>
            <x14:dxf>
              <font>
                <color theme="1"/>
              </font>
              <fill>
                <patternFill>
                  <bgColor theme="7" tint="0.39994506668294322"/>
                </patternFill>
              </fill>
            </x14:dxf>
          </x14:cfRule>
          <x14:cfRule type="expression" priority="18" id="{B713B3FF-E644-6F43-9A39-F213E292C09D}">
            <xm:f>OR(Maaned!$AF5="nul-dag")</xm:f>
            <x14:dxf>
              <font>
                <color theme="1"/>
              </font>
              <fill>
                <patternFill>
                  <bgColor theme="3" tint="0.59996337778862885"/>
                </patternFill>
              </fill>
            </x14:dxf>
          </x14:cfRule>
          <x14:cfRule type="expression" priority="19" id="{95FF3B6C-9C43-8444-AAF4-1564645F2098}">
            <xm:f>OR(Maaned!$AF5="SH-dag")</xm:f>
            <x14:dxf>
              <font>
                <color theme="1"/>
              </font>
              <fill>
                <patternFill>
                  <bgColor rgb="FFFF2F82"/>
                </patternFill>
              </fill>
            </x14:dxf>
          </x14:cfRule>
          <x14:cfRule type="expression" priority="20" id="{42C6D939-E342-794F-8D68-4D2A92B68661}">
            <xm:f>OR(Maaned!$AF5="ekskursion")</xm:f>
            <x14:dxf>
              <font>
                <color theme="1"/>
              </font>
              <fill>
                <patternFill>
                  <bgColor rgb="FFFFFF00"/>
                </patternFill>
              </fill>
            </x14:dxf>
          </x14:cfRule>
          <x14:cfRule type="expression" priority="21" id="{1F34D948-7D51-6C4D-9C12-EA1C00ECAA0D}">
            <xm:f>OR(Maaned!$AF5="lejrskole")</xm:f>
            <x14:dxf>
              <font>
                <color theme="1"/>
              </font>
              <fill>
                <patternFill>
                  <bgColor theme="8" tint="0.59996337778862885"/>
                </patternFill>
              </fill>
            </x14:dxf>
          </x14:cfRule>
          <xm:sqref>U3:Y33</xm:sqref>
        </x14:conditionalFormatting>
        <x14:conditionalFormatting xmlns:xm="http://schemas.microsoft.com/office/excel/2006/main">
          <x14:cfRule type="expression" priority="1" id="{FDE39F5A-D65C-1344-816C-86CD370A3ECF}">
            <xm:f>OR(Maaned!$AM5="Ikke relevant")</xm:f>
            <x14:dxf>
              <font>
                <color theme="0"/>
              </font>
              <fill>
                <patternFill>
                  <bgColor theme="1"/>
                </patternFill>
              </fill>
            </x14:dxf>
          </x14:cfRule>
          <x14:cfRule type="expression" priority="12" id="{C3669A06-ECE3-1C4C-8A9E-AC7AB2A13144}">
            <xm:f>OR(Maaned!$AM5="emnedag")</xm:f>
            <x14:dxf>
              <font>
                <color theme="1"/>
              </font>
              <fill>
                <patternFill>
                  <bgColor theme="5" tint="0.59996337778862885"/>
                </patternFill>
              </fill>
            </x14:dxf>
          </x14:cfRule>
          <x14:cfRule type="expression" priority="13" id="{2A6AFF4D-71BF-5445-99EA-CFA1FD023307}">
            <xm:f>OR(Maaned!$AM5="fagdag")</xm:f>
            <x14:dxf>
              <font>
                <color theme="1"/>
              </font>
              <fill>
                <patternFill>
                  <bgColor theme="9" tint="0.59996337778862885"/>
                </patternFill>
              </fill>
            </x14:dxf>
          </x14:cfRule>
          <x14:cfRule type="expression" priority="14" id="{D62CD6F0-FB94-BE49-8742-DBB545E12DAE}">
            <xm:f>OR(Maaned!$AM5="feriedag")</xm:f>
            <x14:dxf>
              <font>
                <color theme="1"/>
              </font>
              <fill>
                <patternFill>
                  <bgColor theme="6" tint="0.39994506668294322"/>
                </patternFill>
              </fill>
            </x14:dxf>
          </x14:cfRule>
          <x14:cfRule type="expression" priority="15" id="{90360773-D299-7A4E-8D20-330CE4CDECBF}">
            <xm:f>OR(Maaned!$AM5="weekend")</xm:f>
            <x14:dxf>
              <font>
                <color theme="1"/>
              </font>
              <fill>
                <patternFill>
                  <bgColor theme="0" tint="-0.14996795556505021"/>
                </patternFill>
              </fill>
            </x14:dxf>
          </x14:cfRule>
          <x14:cfRule type="expression" priority="16" stopIfTrue="1" id="{84623046-F60B-3C47-9B00-5232AB04FE96}">
            <xm:f>OR(Maaned!$AM5="skoledag")</xm:f>
            <x14:dxf>
              <font>
                <color theme="1"/>
              </font>
              <fill>
                <patternFill patternType="none">
                  <bgColor auto="1"/>
                </patternFill>
              </fill>
            </x14:dxf>
          </x14:cfRule>
          <xm:sqref>Z3:AD33</xm:sqref>
        </x14:conditionalFormatting>
        <x14:conditionalFormatting xmlns:xm="http://schemas.microsoft.com/office/excel/2006/main">
          <x14:cfRule type="expression" priority="7" id="{7DE50EC5-7141-694F-940D-A8D18C9104D2}">
            <xm:f>OR(Maaned!$AM5="pæd.dag")</xm:f>
            <x14:dxf>
              <font>
                <color theme="1"/>
              </font>
              <fill>
                <patternFill>
                  <bgColor theme="7" tint="0.39994506668294322"/>
                </patternFill>
              </fill>
            </x14:dxf>
          </x14:cfRule>
          <x14:cfRule type="expression" priority="8" id="{52D09256-9D97-6546-A35A-A627276E2390}">
            <xm:f>OR(Maaned!$AM5="nul-dag")</xm:f>
            <x14:dxf>
              <font>
                <color theme="1"/>
              </font>
              <fill>
                <patternFill>
                  <bgColor theme="3" tint="0.59996337778862885"/>
                </patternFill>
              </fill>
            </x14:dxf>
          </x14:cfRule>
          <x14:cfRule type="expression" priority="9" id="{59A55BCC-8EC7-6B46-8D8B-F62C6CFA6265}">
            <xm:f>OR(Maaned!$AM5="SH-dag")</xm:f>
            <x14:dxf>
              <font>
                <color theme="1"/>
              </font>
              <fill>
                <patternFill>
                  <bgColor rgb="FFFF2F82"/>
                </patternFill>
              </fill>
            </x14:dxf>
          </x14:cfRule>
          <x14:cfRule type="expression" priority="10" id="{0A364475-486F-F548-AA5E-0240AD74B6F5}">
            <xm:f>OR(Maaned!$AM5="ekskursion")</xm:f>
            <x14:dxf>
              <font>
                <color theme="1"/>
              </font>
              <fill>
                <patternFill>
                  <bgColor rgb="FFFFFF00"/>
                </patternFill>
              </fill>
            </x14:dxf>
          </x14:cfRule>
          <x14:cfRule type="expression" priority="11" id="{A0D0FAB6-EDC2-F04E-9AA0-AC37C2D8CFA0}">
            <xm:f>OR(Maaned!$AM5="lejrskole")</xm:f>
            <x14:dxf>
              <font>
                <color theme="1"/>
              </font>
              <fill>
                <patternFill>
                  <bgColor theme="8" tint="0.59996337778862885"/>
                </patternFill>
              </fill>
            </x14:dxf>
          </x14:cfRule>
          <xm:sqref>Z3:AD33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showGridLines="0" zoomScale="80" zoomScaleNormal="80" zoomScalePageLayoutView="80" workbookViewId="0">
      <selection activeCell="S18" sqref="S18"/>
    </sheetView>
  </sheetViews>
  <sheetFormatPr baseColWidth="10" defaultColWidth="12.5" defaultRowHeight="36" customHeight="1"/>
  <cols>
    <col min="1" max="2" width="4.33203125" style="156" customWidth="1"/>
    <col min="3" max="3" width="7.83203125" style="157" customWidth="1"/>
    <col min="4" max="4" width="20.1640625" style="157" customWidth="1"/>
    <col min="5" max="5" width="3.1640625" style="155" customWidth="1"/>
    <col min="6" max="7" width="4.33203125" style="156" customWidth="1"/>
    <col min="8" max="8" width="8" style="157" customWidth="1"/>
    <col min="9" max="9" width="20.33203125" style="157" customWidth="1"/>
    <col min="10" max="10" width="4" style="155" customWidth="1"/>
    <col min="11" max="12" width="4.33203125" style="156" customWidth="1"/>
    <col min="13" max="13" width="7.83203125" style="157" customWidth="1"/>
    <col min="14" max="14" width="20.1640625" style="157" customWidth="1"/>
    <col min="15" max="15" width="4" style="155" customWidth="1"/>
    <col min="16" max="17" width="4.33203125" style="156" customWidth="1"/>
    <col min="18" max="18" width="7.83203125" style="157" customWidth="1"/>
    <col min="19" max="19" width="20.1640625" style="157" customWidth="1"/>
    <col min="20" max="20" width="4" style="155" customWidth="1"/>
    <col min="21" max="21" width="5.33203125" style="156" customWidth="1"/>
    <col min="22" max="22" width="4.33203125" style="156" customWidth="1"/>
    <col min="23" max="23" width="7.83203125" style="157" customWidth="1"/>
    <col min="24" max="24" width="20.1640625" style="157" customWidth="1"/>
    <col min="25" max="25" width="4" style="155" customWidth="1"/>
    <col min="26" max="27" width="4.33203125" style="156" customWidth="1"/>
    <col min="28" max="28" width="7.83203125" style="157" customWidth="1"/>
    <col min="29" max="29" width="20.1640625" style="157" customWidth="1"/>
    <col min="30" max="30" width="4" style="155" customWidth="1"/>
    <col min="31" max="16384" width="12.5" style="143"/>
  </cols>
  <sheetData>
    <row r="1" spans="1:30" ht="36" customHeight="1" thickBot="1">
      <c r="A1" s="307" t="str">
        <f>"ÅRSKALENDER  for  "&amp;UPPER(Maaned!A1)&amp;"  "&amp;Maaned!A3&amp;" - "&amp;TEXT(Maaned!A3-1999,"00")</f>
        <v>ÅRSKALENDER  for  MIN EGEN SKOLE  2019 - 20</v>
      </c>
      <c r="B1" s="129"/>
      <c r="C1" s="130"/>
      <c r="D1" s="130"/>
      <c r="E1" s="131"/>
      <c r="F1" s="132"/>
      <c r="G1" s="129"/>
      <c r="H1" s="130"/>
      <c r="I1" s="130"/>
      <c r="J1" s="131"/>
      <c r="K1" s="132"/>
      <c r="L1" s="129"/>
      <c r="M1" s="130"/>
      <c r="N1" s="130"/>
      <c r="O1" s="131"/>
      <c r="P1" s="132"/>
      <c r="Q1" s="129"/>
      <c r="R1" s="130"/>
      <c r="S1" s="130"/>
      <c r="T1" s="131"/>
      <c r="U1" s="132"/>
      <c r="V1" s="129"/>
      <c r="W1" s="130"/>
      <c r="X1" s="130"/>
      <c r="Y1" s="131"/>
      <c r="Z1" s="132"/>
      <c r="AA1" s="129"/>
      <c r="AB1" s="130"/>
      <c r="AC1" s="130"/>
      <c r="AD1" s="133"/>
    </row>
    <row r="2" spans="1:30" s="141" customFormat="1" ht="23" customHeight="1">
      <c r="A2" s="139" t="s">
        <v>165</v>
      </c>
      <c r="B2" s="136"/>
      <c r="C2" s="137"/>
      <c r="D2" s="137"/>
      <c r="E2" s="138"/>
      <c r="F2" s="135" t="s">
        <v>166</v>
      </c>
      <c r="G2" s="136"/>
      <c r="H2" s="137"/>
      <c r="I2" s="137"/>
      <c r="J2" s="138"/>
      <c r="K2" s="135" t="s">
        <v>167</v>
      </c>
      <c r="L2" s="136"/>
      <c r="M2" s="137"/>
      <c r="N2" s="137"/>
      <c r="O2" s="138"/>
      <c r="P2" s="135" t="s">
        <v>168</v>
      </c>
      <c r="Q2" s="136"/>
      <c r="R2" s="137"/>
      <c r="S2" s="137"/>
      <c r="T2" s="138"/>
      <c r="U2" s="135" t="s">
        <v>169</v>
      </c>
      <c r="V2" s="136"/>
      <c r="W2" s="137"/>
      <c r="X2" s="137"/>
      <c r="Y2" s="138"/>
      <c r="Z2" s="135" t="s">
        <v>170</v>
      </c>
      <c r="AA2" s="136"/>
      <c r="AB2" s="137"/>
      <c r="AC2" s="137"/>
      <c r="AD2" s="496"/>
    </row>
    <row r="3" spans="1:30" ht="23" customHeight="1">
      <c r="A3" s="258">
        <f>Maaned!AR5</f>
        <v>1</v>
      </c>
      <c r="B3" s="257" t="str">
        <f>Maaned!AS5</f>
        <v>lø</v>
      </c>
      <c r="C3" s="267" t="str">
        <f>Maaned!AT5</f>
        <v>weekend</v>
      </c>
      <c r="D3" s="350" t="str">
        <f>IF(Maaned!AV5&lt;&gt;"",Maaned!AV5,"")</f>
        <v/>
      </c>
      <c r="E3" s="380" t="str">
        <f>Maaned!AU5</f>
        <v/>
      </c>
      <c r="F3" s="258">
        <f>Maaned!AY5</f>
        <v>1</v>
      </c>
      <c r="G3" s="257" t="str">
        <f>Maaned!AZ5</f>
        <v>sø</v>
      </c>
      <c r="H3" s="267" t="str">
        <f>Maaned!BA5</f>
        <v>weekend</v>
      </c>
      <c r="I3" s="350" t="str">
        <f>IF(Maaned!BC5&lt;&gt;"",Maaned!BC5,"")</f>
        <v/>
      </c>
      <c r="J3" s="380" t="str">
        <f>Maaned!BB5</f>
        <v/>
      </c>
      <c r="K3" s="258">
        <f>Maaned!BF5</f>
        <v>1</v>
      </c>
      <c r="L3" s="257" t="str">
        <f>Maaned!BG5</f>
        <v>on</v>
      </c>
      <c r="M3" s="267" t="str">
        <f>Maaned!BH5</f>
        <v>skoledag</v>
      </c>
      <c r="N3" s="350" t="str">
        <f>IF(Maaned!BJ5&lt;&gt;"",Maaned!BJ5,"")</f>
        <v/>
      </c>
      <c r="O3" s="380" t="str">
        <f>Maaned!BI5</f>
        <v/>
      </c>
      <c r="P3" s="258">
        <f>Maaned!BM5</f>
        <v>1</v>
      </c>
      <c r="Q3" s="257" t="str">
        <f>Maaned!BN5</f>
        <v>fr</v>
      </c>
      <c r="R3" s="267" t="str">
        <f>Maaned!BO5</f>
        <v>skoledag</v>
      </c>
      <c r="S3" s="350" t="str">
        <f>IF(Maaned!BQ5&lt;&gt;"",Maaned!BQ5,"")</f>
        <v/>
      </c>
      <c r="T3" s="380" t="str">
        <f>Maaned!BP5</f>
        <v/>
      </c>
      <c r="U3" s="258">
        <f>Maaned!BT5</f>
        <v>1</v>
      </c>
      <c r="V3" s="257" t="str">
        <f>Maaned!BU5</f>
        <v>ma</v>
      </c>
      <c r="W3" s="267" t="str">
        <f>Maaned!BV5</f>
        <v>SH-dag</v>
      </c>
      <c r="X3" s="350" t="str">
        <f>IF(Maaned!BX5&lt;&gt;"",Maaned!BX5,"")</f>
        <v>2. pinsedag</v>
      </c>
      <c r="Y3" s="380">
        <f>Maaned!BW5</f>
        <v>22.714285714285715</v>
      </c>
      <c r="Z3" s="258">
        <f>Maaned!CA5</f>
        <v>1</v>
      </c>
      <c r="AA3" s="257" t="str">
        <f>Maaned!CB5</f>
        <v>on</v>
      </c>
      <c r="AB3" s="267" t="str">
        <f>Maaned!CC5</f>
        <v>Nul-dag</v>
      </c>
      <c r="AC3" s="350" t="str">
        <f>IF(Maaned!CE5&lt;&gt;"",Maaned!CE5,"")</f>
        <v/>
      </c>
      <c r="AD3" s="386" t="str">
        <f>Maaned!CD5</f>
        <v/>
      </c>
    </row>
    <row r="4" spans="1:30" ht="23" customHeight="1">
      <c r="A4" s="258">
        <f>Maaned!AR6</f>
        <v>2</v>
      </c>
      <c r="B4" s="257" t="str">
        <f>Maaned!AS6</f>
        <v>sø</v>
      </c>
      <c r="C4" s="267" t="str">
        <f>Maaned!AT6</f>
        <v>weekend</v>
      </c>
      <c r="D4" s="350" t="str">
        <f>IF(Maaned!AV6&lt;&gt;"",Maaned!AV6,"")</f>
        <v/>
      </c>
      <c r="E4" s="380" t="str">
        <f>Maaned!AU6</f>
        <v/>
      </c>
      <c r="F4" s="258">
        <f>Maaned!AY6</f>
        <v>2</v>
      </c>
      <c r="G4" s="257" t="str">
        <f>Maaned!AZ6</f>
        <v>ma</v>
      </c>
      <c r="H4" s="267" t="str">
        <f>Maaned!BA6</f>
        <v>skoledag</v>
      </c>
      <c r="I4" s="350" t="str">
        <f>IF(Maaned!BC6&lt;&gt;"",Maaned!BC6,"")</f>
        <v/>
      </c>
      <c r="J4" s="380">
        <f>Maaned!BB6</f>
        <v>9.7142857142857135</v>
      </c>
      <c r="K4" s="258">
        <f>Maaned!BF6</f>
        <v>2</v>
      </c>
      <c r="L4" s="257" t="str">
        <f>Maaned!BG6</f>
        <v>to</v>
      </c>
      <c r="M4" s="267" t="str">
        <f>Maaned!BH6</f>
        <v>skoledag</v>
      </c>
      <c r="N4" s="350" t="str">
        <f>IF(Maaned!BJ6&lt;&gt;"",Maaned!BJ6,"")</f>
        <v/>
      </c>
      <c r="O4" s="380" t="str">
        <f>Maaned!BI6</f>
        <v/>
      </c>
      <c r="P4" s="258">
        <f>Maaned!BM6</f>
        <v>2</v>
      </c>
      <c r="Q4" s="257" t="str">
        <f>Maaned!BN6</f>
        <v>lø</v>
      </c>
      <c r="R4" s="267" t="str">
        <f>Maaned!BO6</f>
        <v>weekend</v>
      </c>
      <c r="S4" s="350" t="str">
        <f>IF(Maaned!BQ6&lt;&gt;"",Maaned!BQ6,"")</f>
        <v/>
      </c>
      <c r="T4" s="380" t="str">
        <f>Maaned!BP6</f>
        <v/>
      </c>
      <c r="U4" s="258">
        <f>Maaned!BT6</f>
        <v>2</v>
      </c>
      <c r="V4" s="257" t="str">
        <f>Maaned!BU6</f>
        <v>ti</v>
      </c>
      <c r="W4" s="267" t="str">
        <f>Maaned!BV6</f>
        <v>skoledag</v>
      </c>
      <c r="X4" s="350" t="str">
        <f>IF(Maaned!BX6&lt;&gt;"",Maaned!BX6,"")</f>
        <v/>
      </c>
      <c r="Y4" s="380" t="str">
        <f>Maaned!BW6</f>
        <v/>
      </c>
      <c r="Z4" s="258">
        <f>Maaned!CA6</f>
        <v>2</v>
      </c>
      <c r="AA4" s="257" t="str">
        <f>Maaned!CB6</f>
        <v>to</v>
      </c>
      <c r="AB4" s="267" t="str">
        <f>Maaned!CC6</f>
        <v>Nul-dag</v>
      </c>
      <c r="AC4" s="350" t="str">
        <f>IF(Maaned!CE6&lt;&gt;"",Maaned!CE6,"")</f>
        <v/>
      </c>
      <c r="AD4" s="387" t="str">
        <f>Maaned!CD6</f>
        <v/>
      </c>
    </row>
    <row r="5" spans="1:30" ht="23" customHeight="1">
      <c r="A5" s="258">
        <f>Maaned!AR7</f>
        <v>3</v>
      </c>
      <c r="B5" s="257" t="str">
        <f>Maaned!AS7</f>
        <v>ma</v>
      </c>
      <c r="C5" s="267" t="str">
        <f>Maaned!AT7</f>
        <v>skoledag</v>
      </c>
      <c r="D5" s="350" t="str">
        <f>IF(Maaned!AV7&lt;&gt;"",Maaned!AV7,"")</f>
        <v/>
      </c>
      <c r="E5" s="380">
        <f>Maaned!AU7</f>
        <v>5.7142857142857144</v>
      </c>
      <c r="F5" s="258">
        <f>Maaned!AY7</f>
        <v>3</v>
      </c>
      <c r="G5" s="257" t="str">
        <f>Maaned!AZ7</f>
        <v>ti</v>
      </c>
      <c r="H5" s="267" t="str">
        <f>Maaned!BA7</f>
        <v>skoledag</v>
      </c>
      <c r="I5" s="350" t="str">
        <f>IF(Maaned!BC7&lt;&gt;"",Maaned!BC7,"")</f>
        <v/>
      </c>
      <c r="J5" s="380" t="str">
        <f>Maaned!BB7</f>
        <v/>
      </c>
      <c r="K5" s="258">
        <f>Maaned!BF7</f>
        <v>3</v>
      </c>
      <c r="L5" s="257" t="str">
        <f>Maaned!BG7</f>
        <v>fr</v>
      </c>
      <c r="M5" s="267" t="str">
        <f>Maaned!BH7</f>
        <v>skoledag</v>
      </c>
      <c r="N5" s="350" t="str">
        <f>IF(Maaned!BJ7&lt;&gt;"",Maaned!BJ7,"")</f>
        <v/>
      </c>
      <c r="O5" s="380" t="str">
        <f>Maaned!BI7</f>
        <v/>
      </c>
      <c r="P5" s="258">
        <f>Maaned!BM7</f>
        <v>3</v>
      </c>
      <c r="Q5" s="257" t="str">
        <f>Maaned!BN7</f>
        <v>sø</v>
      </c>
      <c r="R5" s="267" t="str">
        <f>Maaned!BO7</f>
        <v>weekend</v>
      </c>
      <c r="S5" s="350" t="str">
        <f>IF(Maaned!BQ7&lt;&gt;"",Maaned!BQ7,"")</f>
        <v/>
      </c>
      <c r="T5" s="380" t="str">
        <f>Maaned!BP7</f>
        <v/>
      </c>
      <c r="U5" s="258">
        <f>Maaned!BT7</f>
        <v>3</v>
      </c>
      <c r="V5" s="257" t="str">
        <f>Maaned!BU7</f>
        <v>on</v>
      </c>
      <c r="W5" s="267" t="str">
        <f>Maaned!BV7</f>
        <v>skoledag</v>
      </c>
      <c r="X5" s="350" t="str">
        <f>IF(Maaned!BX7&lt;&gt;"",Maaned!BX7,"")</f>
        <v/>
      </c>
      <c r="Y5" s="380" t="str">
        <f>Maaned!BW7</f>
        <v/>
      </c>
      <c r="Z5" s="258">
        <f>Maaned!CA7</f>
        <v>3</v>
      </c>
      <c r="AA5" s="257" t="str">
        <f>Maaned!CB7</f>
        <v>fr</v>
      </c>
      <c r="AB5" s="267" t="str">
        <f>Maaned!CC7</f>
        <v>Nul-dag</v>
      </c>
      <c r="AC5" s="350" t="str">
        <f>IF(Maaned!CE7&lt;&gt;"",Maaned!CE7,"")</f>
        <v/>
      </c>
      <c r="AD5" s="387" t="str">
        <f>Maaned!CD7</f>
        <v/>
      </c>
    </row>
    <row r="6" spans="1:30" ht="23" customHeight="1">
      <c r="A6" s="258">
        <f>Maaned!AR8</f>
        <v>4</v>
      </c>
      <c r="B6" s="257" t="str">
        <f>Maaned!AS8</f>
        <v>ti</v>
      </c>
      <c r="C6" s="267" t="str">
        <f>Maaned!AT8</f>
        <v>skoledag</v>
      </c>
      <c r="D6" s="350" t="str">
        <f>IF(Maaned!AV8&lt;&gt;"",Maaned!AV8,"")</f>
        <v/>
      </c>
      <c r="E6" s="380" t="str">
        <f>Maaned!AU8</f>
        <v/>
      </c>
      <c r="F6" s="258">
        <f>Maaned!AY8</f>
        <v>4</v>
      </c>
      <c r="G6" s="257" t="str">
        <f>Maaned!AZ8</f>
        <v>on</v>
      </c>
      <c r="H6" s="267" t="str">
        <f>Maaned!BA8</f>
        <v>skoledag</v>
      </c>
      <c r="I6" s="350" t="str">
        <f>IF(Maaned!BC8&lt;&gt;"",Maaned!BC8,"")</f>
        <v/>
      </c>
      <c r="J6" s="380" t="str">
        <f>Maaned!BB8</f>
        <v/>
      </c>
      <c r="K6" s="258">
        <f>Maaned!BF8</f>
        <v>4</v>
      </c>
      <c r="L6" s="257" t="str">
        <f>Maaned!BG8</f>
        <v>lø</v>
      </c>
      <c r="M6" s="267" t="str">
        <f>Maaned!BH8</f>
        <v>weekend</v>
      </c>
      <c r="N6" s="350" t="str">
        <f>IF(Maaned!BJ8&lt;&gt;"",Maaned!BJ8,"")</f>
        <v/>
      </c>
      <c r="O6" s="380" t="str">
        <f>Maaned!BI8</f>
        <v/>
      </c>
      <c r="P6" s="258">
        <f>Maaned!BM8</f>
        <v>4</v>
      </c>
      <c r="Q6" s="257" t="str">
        <f>Maaned!BN8</f>
        <v>ma</v>
      </c>
      <c r="R6" s="267" t="str">
        <f>Maaned!BO8</f>
        <v>skoledag</v>
      </c>
      <c r="S6" s="350" t="str">
        <f>IF(Maaned!BQ8&lt;&gt;"",Maaned!BQ8,"")</f>
        <v/>
      </c>
      <c r="T6" s="380">
        <f>Maaned!BP8</f>
        <v>18.714285714285715</v>
      </c>
      <c r="U6" s="258">
        <f>Maaned!BT8</f>
        <v>4</v>
      </c>
      <c r="V6" s="257" t="str">
        <f>Maaned!BU8</f>
        <v>to</v>
      </c>
      <c r="W6" s="267" t="str">
        <f>Maaned!BV8</f>
        <v>skoledag</v>
      </c>
      <c r="X6" s="350" t="str">
        <f>IF(Maaned!BX8&lt;&gt;"",Maaned!BX8,"")</f>
        <v/>
      </c>
      <c r="Y6" s="380" t="str">
        <f>Maaned!BW8</f>
        <v/>
      </c>
      <c r="Z6" s="258">
        <f>Maaned!CA8</f>
        <v>4</v>
      </c>
      <c r="AA6" s="257" t="str">
        <f>Maaned!CB8</f>
        <v>lø</v>
      </c>
      <c r="AB6" s="267" t="str">
        <f>Maaned!CC8</f>
        <v>weekend</v>
      </c>
      <c r="AC6" s="350" t="str">
        <f>IF(Maaned!CE8&lt;&gt;"",Maaned!CE8,"")</f>
        <v/>
      </c>
      <c r="AD6" s="387" t="str">
        <f>Maaned!CD8</f>
        <v/>
      </c>
    </row>
    <row r="7" spans="1:30" ht="23" customHeight="1">
      <c r="A7" s="258">
        <f>Maaned!AR9</f>
        <v>5</v>
      </c>
      <c r="B7" s="257" t="str">
        <f>Maaned!AS9</f>
        <v>on</v>
      </c>
      <c r="C7" s="267" t="str">
        <f>Maaned!AT9</f>
        <v>skoledag</v>
      </c>
      <c r="D7" s="350" t="str">
        <f>IF(Maaned!AV9&lt;&gt;"",Maaned!AV9,"")</f>
        <v/>
      </c>
      <c r="E7" s="380" t="str">
        <f>Maaned!AU9</f>
        <v/>
      </c>
      <c r="F7" s="258">
        <f>Maaned!AY9</f>
        <v>5</v>
      </c>
      <c r="G7" s="257" t="str">
        <f>Maaned!AZ9</f>
        <v>to</v>
      </c>
      <c r="H7" s="267" t="str">
        <f>Maaned!BA9</f>
        <v>skoledag</v>
      </c>
      <c r="I7" s="350" t="str">
        <f>IF(Maaned!BC9&lt;&gt;"",Maaned!BC9,"")</f>
        <v/>
      </c>
      <c r="J7" s="380" t="str">
        <f>Maaned!BB9</f>
        <v/>
      </c>
      <c r="K7" s="258">
        <f>Maaned!BF9</f>
        <v>5</v>
      </c>
      <c r="L7" s="257" t="str">
        <f>Maaned!BG9</f>
        <v>sø</v>
      </c>
      <c r="M7" s="267" t="str">
        <f>Maaned!BH9</f>
        <v>weekend</v>
      </c>
      <c r="N7" s="350" t="str">
        <f>IF(Maaned!BJ9&lt;&gt;"",Maaned!BJ9,"")</f>
        <v>Palmesøndag</v>
      </c>
      <c r="O7" s="380" t="str">
        <f>Maaned!BI9</f>
        <v/>
      </c>
      <c r="P7" s="258">
        <f>Maaned!BM9</f>
        <v>5</v>
      </c>
      <c r="Q7" s="257" t="str">
        <f>Maaned!BN9</f>
        <v>ti</v>
      </c>
      <c r="R7" s="267" t="str">
        <f>Maaned!BO9</f>
        <v>skoledag</v>
      </c>
      <c r="S7" s="350" t="str">
        <f>IF(Maaned!BQ9&lt;&gt;"",Maaned!BQ9,"")</f>
        <v/>
      </c>
      <c r="T7" s="380" t="str">
        <f>Maaned!BP9</f>
        <v/>
      </c>
      <c r="U7" s="258">
        <f>Maaned!BT9</f>
        <v>5</v>
      </c>
      <c r="V7" s="257" t="str">
        <f>Maaned!BU9</f>
        <v>fr</v>
      </c>
      <c r="W7" s="267" t="str">
        <f>Maaned!BV9</f>
        <v>skoledag</v>
      </c>
      <c r="X7" s="350" t="str">
        <f>IF(Maaned!BX9&lt;&gt;"",Maaned!BX9,"")</f>
        <v xml:space="preserve">Grundlovsdag </v>
      </c>
      <c r="Y7" s="380" t="str">
        <f>Maaned!BW9</f>
        <v/>
      </c>
      <c r="Z7" s="258">
        <f>Maaned!CA9</f>
        <v>5</v>
      </c>
      <c r="AA7" s="257" t="str">
        <f>Maaned!CB9</f>
        <v>sø</v>
      </c>
      <c r="AB7" s="267" t="str">
        <f>Maaned!CC9</f>
        <v>weekend</v>
      </c>
      <c r="AC7" s="350" t="str">
        <f>IF(Maaned!CE9&lt;&gt;"",Maaned!CE9,"")</f>
        <v/>
      </c>
      <c r="AD7" s="387" t="str">
        <f>Maaned!CD9</f>
        <v/>
      </c>
    </row>
    <row r="8" spans="1:30" ht="23" customHeight="1">
      <c r="A8" s="258">
        <f>Maaned!AR10</f>
        <v>6</v>
      </c>
      <c r="B8" s="257" t="str">
        <f>Maaned!AS10</f>
        <v>to</v>
      </c>
      <c r="C8" s="267" t="str">
        <f>Maaned!AT10</f>
        <v>skoledag</v>
      </c>
      <c r="D8" s="350" t="str">
        <f>IF(Maaned!AV10&lt;&gt;"",Maaned!AV10,"")</f>
        <v/>
      </c>
      <c r="E8" s="380" t="str">
        <f>Maaned!AU10</f>
        <v/>
      </c>
      <c r="F8" s="258">
        <f>Maaned!AY10</f>
        <v>6</v>
      </c>
      <c r="G8" s="257" t="str">
        <f>Maaned!AZ10</f>
        <v>fr</v>
      </c>
      <c r="H8" s="267" t="str">
        <f>Maaned!BA10</f>
        <v>skoledag</v>
      </c>
      <c r="I8" s="350" t="str">
        <f>IF(Maaned!BC10&lt;&gt;"",Maaned!BC10,"")</f>
        <v/>
      </c>
      <c r="J8" s="380" t="str">
        <f>Maaned!BB10</f>
        <v/>
      </c>
      <c r="K8" s="258">
        <f>Maaned!BF10</f>
        <v>6</v>
      </c>
      <c r="L8" s="257" t="str">
        <f>Maaned!BG10</f>
        <v>ma</v>
      </c>
      <c r="M8" s="267" t="str">
        <f>Maaned!BH10</f>
        <v>nul-dag</v>
      </c>
      <c r="N8" s="350" t="str">
        <f>IF(Maaned!BJ10&lt;&gt;"",Maaned!BJ10,"")</f>
        <v/>
      </c>
      <c r="O8" s="380">
        <f>Maaned!BI10</f>
        <v>14.714285714285714</v>
      </c>
      <c r="P8" s="258">
        <f>Maaned!BM10</f>
        <v>6</v>
      </c>
      <c r="Q8" s="257" t="str">
        <f>Maaned!BN10</f>
        <v>on</v>
      </c>
      <c r="R8" s="267" t="str">
        <f>Maaned!BO10</f>
        <v>skoledag</v>
      </c>
      <c r="S8" s="350" t="str">
        <f>IF(Maaned!BQ10&lt;&gt;"",Maaned!BQ10,"")</f>
        <v/>
      </c>
      <c r="T8" s="380" t="str">
        <f>Maaned!BP10</f>
        <v/>
      </c>
      <c r="U8" s="258">
        <f>Maaned!BT10</f>
        <v>6</v>
      </c>
      <c r="V8" s="257" t="str">
        <f>Maaned!BU10</f>
        <v>lø</v>
      </c>
      <c r="W8" s="267" t="str">
        <f>Maaned!BV10</f>
        <v>weekend</v>
      </c>
      <c r="X8" s="350" t="str">
        <f>IF(Maaned!BX10&lt;&gt;"",Maaned!BX10,"")</f>
        <v/>
      </c>
      <c r="Y8" s="380" t="str">
        <f>Maaned!BW10</f>
        <v/>
      </c>
      <c r="Z8" s="258">
        <f>Maaned!CA10</f>
        <v>6</v>
      </c>
      <c r="AA8" s="257" t="str">
        <f>Maaned!CB10</f>
        <v>ma</v>
      </c>
      <c r="AB8" s="267" t="str">
        <f>Maaned!CC10</f>
        <v>Nul-dag</v>
      </c>
      <c r="AC8" s="350" t="str">
        <f>IF(Maaned!CE10&lt;&gt;"",Maaned!CE10,"")</f>
        <v/>
      </c>
      <c r="AD8" s="387">
        <f>Maaned!CD10</f>
        <v>27.714285714285715</v>
      </c>
    </row>
    <row r="9" spans="1:30" ht="23" customHeight="1">
      <c r="A9" s="258">
        <f>Maaned!AR11</f>
        <v>7</v>
      </c>
      <c r="B9" s="257" t="str">
        <f>Maaned!AS11</f>
        <v>fr</v>
      </c>
      <c r="C9" s="267" t="str">
        <f>Maaned!AT11</f>
        <v>skoledag</v>
      </c>
      <c r="D9" s="350" t="str">
        <f>IF(Maaned!AV11&lt;&gt;"",Maaned!AV11,"")</f>
        <v/>
      </c>
      <c r="E9" s="380" t="str">
        <f>Maaned!AU11</f>
        <v/>
      </c>
      <c r="F9" s="258">
        <f>Maaned!AY11</f>
        <v>7</v>
      </c>
      <c r="G9" s="257" t="str">
        <f>Maaned!AZ11</f>
        <v>lø</v>
      </c>
      <c r="H9" s="267" t="str">
        <f>Maaned!BA11</f>
        <v>weekend</v>
      </c>
      <c r="I9" s="350" t="str">
        <f>IF(Maaned!BC11&lt;&gt;"",Maaned!BC11,"")</f>
        <v/>
      </c>
      <c r="J9" s="380" t="str">
        <f>Maaned!BB11</f>
        <v/>
      </c>
      <c r="K9" s="258">
        <f>Maaned!BF11</f>
        <v>7</v>
      </c>
      <c r="L9" s="257" t="str">
        <f>Maaned!BG11</f>
        <v>ti</v>
      </c>
      <c r="M9" s="267" t="str">
        <f>Maaned!BH11</f>
        <v>nul-dag</v>
      </c>
      <c r="N9" s="350" t="str">
        <f>IF(Maaned!BJ11&lt;&gt;"",Maaned!BJ11,"")</f>
        <v/>
      </c>
      <c r="O9" s="380" t="str">
        <f>Maaned!BI11</f>
        <v/>
      </c>
      <c r="P9" s="258">
        <f>Maaned!BM11</f>
        <v>7</v>
      </c>
      <c r="Q9" s="257" t="str">
        <f>Maaned!BN11</f>
        <v>to</v>
      </c>
      <c r="R9" s="267" t="str">
        <f>Maaned!BO11</f>
        <v>skoledag</v>
      </c>
      <c r="S9" s="350" t="str">
        <f>IF(Maaned!BQ11&lt;&gt;"",Maaned!BQ11,"")</f>
        <v/>
      </c>
      <c r="T9" s="380" t="str">
        <f>Maaned!BP11</f>
        <v/>
      </c>
      <c r="U9" s="258">
        <f>Maaned!BT11</f>
        <v>7</v>
      </c>
      <c r="V9" s="257" t="str">
        <f>Maaned!BU11</f>
        <v>sø</v>
      </c>
      <c r="W9" s="267" t="str">
        <f>Maaned!BV11</f>
        <v>weekend</v>
      </c>
      <c r="X9" s="350" t="str">
        <f>IF(Maaned!BX11&lt;&gt;"",Maaned!BX11,"")</f>
        <v/>
      </c>
      <c r="Y9" s="380" t="str">
        <f>Maaned!BW11</f>
        <v/>
      </c>
      <c r="Z9" s="258">
        <f>Maaned!CA11</f>
        <v>7</v>
      </c>
      <c r="AA9" s="257" t="str">
        <f>Maaned!CB11</f>
        <v>ti</v>
      </c>
      <c r="AB9" s="267" t="str">
        <f>Maaned!CC11</f>
        <v>Nul-dag</v>
      </c>
      <c r="AC9" s="350" t="str">
        <f>IF(Maaned!CE11&lt;&gt;"",Maaned!CE11,"")</f>
        <v/>
      </c>
      <c r="AD9" s="387" t="str">
        <f>Maaned!CD11</f>
        <v/>
      </c>
    </row>
    <row r="10" spans="1:30" ht="23" customHeight="1">
      <c r="A10" s="258">
        <f>Maaned!AR12</f>
        <v>8</v>
      </c>
      <c r="B10" s="257" t="str">
        <f>Maaned!AS12</f>
        <v>lø</v>
      </c>
      <c r="C10" s="267" t="str">
        <f>Maaned!AT12</f>
        <v>weekend</v>
      </c>
      <c r="D10" s="350" t="str">
        <f>IF(Maaned!AV12&lt;&gt;"",Maaned!AV12,"")</f>
        <v/>
      </c>
      <c r="E10" s="380" t="str">
        <f>Maaned!AU12</f>
        <v/>
      </c>
      <c r="F10" s="258">
        <f>Maaned!AY12</f>
        <v>8</v>
      </c>
      <c r="G10" s="257" t="str">
        <f>Maaned!AZ12</f>
        <v>sø</v>
      </c>
      <c r="H10" s="267" t="str">
        <f>Maaned!BA12</f>
        <v>weekend</v>
      </c>
      <c r="I10" s="350" t="str">
        <f>IF(Maaned!BC12&lt;&gt;"",Maaned!BC12,"")</f>
        <v/>
      </c>
      <c r="J10" s="380" t="str">
        <f>Maaned!BB12</f>
        <v/>
      </c>
      <c r="K10" s="258">
        <f>Maaned!BF12</f>
        <v>8</v>
      </c>
      <c r="L10" s="257" t="str">
        <f>Maaned!BG12</f>
        <v>on</v>
      </c>
      <c r="M10" s="267" t="str">
        <f>Maaned!BH12</f>
        <v>nul-dag</v>
      </c>
      <c r="N10" s="350" t="str">
        <f>IF(Maaned!BJ12&lt;&gt;"",Maaned!BJ12,"")</f>
        <v/>
      </c>
      <c r="O10" s="380" t="str">
        <f>Maaned!BI12</f>
        <v/>
      </c>
      <c r="P10" s="258">
        <f>Maaned!BM12</f>
        <v>8</v>
      </c>
      <c r="Q10" s="257" t="str">
        <f>Maaned!BN12</f>
        <v>fr</v>
      </c>
      <c r="R10" s="267" t="str">
        <f>Maaned!BO12</f>
        <v>SH-dag</v>
      </c>
      <c r="S10" s="350" t="str">
        <f>IF(Maaned!BQ12&lt;&gt;"",Maaned!BQ12,"")</f>
        <v>St. Bededag</v>
      </c>
      <c r="T10" s="380" t="str">
        <f>Maaned!BP12</f>
        <v/>
      </c>
      <c r="U10" s="258">
        <f>Maaned!BT12</f>
        <v>8</v>
      </c>
      <c r="V10" s="257" t="str">
        <f>Maaned!BU12</f>
        <v>ma</v>
      </c>
      <c r="W10" s="267" t="str">
        <f>Maaned!BV12</f>
        <v>skoledag</v>
      </c>
      <c r="X10" s="350" t="str">
        <f>IF(Maaned!BX12&lt;&gt;"",Maaned!BX12,"")</f>
        <v/>
      </c>
      <c r="Y10" s="380">
        <f>Maaned!BW12</f>
        <v>23.714285714285715</v>
      </c>
      <c r="Z10" s="258">
        <f>Maaned!CA12</f>
        <v>8</v>
      </c>
      <c r="AA10" s="257" t="str">
        <f>Maaned!CB12</f>
        <v>on</v>
      </c>
      <c r="AB10" s="267" t="str">
        <f>Maaned!CC12</f>
        <v>Nul-dag</v>
      </c>
      <c r="AC10" s="350" t="str">
        <f>IF(Maaned!CE12&lt;&gt;"",Maaned!CE12,"")</f>
        <v/>
      </c>
      <c r="AD10" s="387" t="str">
        <f>Maaned!CD12</f>
        <v/>
      </c>
    </row>
    <row r="11" spans="1:30" ht="23" customHeight="1">
      <c r="A11" s="258">
        <f>Maaned!AR13</f>
        <v>9</v>
      </c>
      <c r="B11" s="257" t="str">
        <f>Maaned!AS13</f>
        <v>sø</v>
      </c>
      <c r="C11" s="267" t="str">
        <f>Maaned!AT13</f>
        <v>weekend</v>
      </c>
      <c r="D11" s="350" t="str">
        <f>IF(Maaned!AV13&lt;&gt;"",Maaned!AV13,"")</f>
        <v/>
      </c>
      <c r="E11" s="380" t="str">
        <f>Maaned!AU13</f>
        <v/>
      </c>
      <c r="F11" s="258">
        <f>Maaned!AY13</f>
        <v>9</v>
      </c>
      <c r="G11" s="257" t="str">
        <f>Maaned!AZ13</f>
        <v>ma</v>
      </c>
      <c r="H11" s="267" t="str">
        <f>Maaned!BA13</f>
        <v>skoledag</v>
      </c>
      <c r="I11" s="350" t="str">
        <f>IF(Maaned!BC13&lt;&gt;"",Maaned!BC13,"")</f>
        <v/>
      </c>
      <c r="J11" s="380">
        <f>Maaned!BB13</f>
        <v>10.714285714285714</v>
      </c>
      <c r="K11" s="258">
        <f>Maaned!BF13</f>
        <v>9</v>
      </c>
      <c r="L11" s="257" t="str">
        <f>Maaned!BG13</f>
        <v>to</v>
      </c>
      <c r="M11" s="267" t="str">
        <f>Maaned!BH13</f>
        <v>SH-dag</v>
      </c>
      <c r="N11" s="350" t="str">
        <f>IF(Maaned!BJ13&lt;&gt;"",Maaned!BJ13,"")</f>
        <v>Skærtorsdag</v>
      </c>
      <c r="O11" s="380" t="str">
        <f>Maaned!BI13</f>
        <v/>
      </c>
      <c r="P11" s="258">
        <f>Maaned!BM13</f>
        <v>9</v>
      </c>
      <c r="Q11" s="257" t="str">
        <f>Maaned!BN13</f>
        <v>lø</v>
      </c>
      <c r="R11" s="267" t="str">
        <f>Maaned!BO13</f>
        <v>weekend</v>
      </c>
      <c r="S11" s="350" t="str">
        <f>IF(Maaned!BQ13&lt;&gt;"",Maaned!BQ13,"")</f>
        <v/>
      </c>
      <c r="T11" s="380" t="str">
        <f>Maaned!BP13</f>
        <v/>
      </c>
      <c r="U11" s="258">
        <f>Maaned!BT13</f>
        <v>9</v>
      </c>
      <c r="V11" s="257" t="str">
        <f>Maaned!BU13</f>
        <v>ti</v>
      </c>
      <c r="W11" s="267" t="str">
        <f>Maaned!BV13</f>
        <v>skoledag</v>
      </c>
      <c r="X11" s="350" t="str">
        <f>IF(Maaned!BX13&lt;&gt;"",Maaned!BX13,"")</f>
        <v/>
      </c>
      <c r="Y11" s="380" t="str">
        <f>Maaned!BW13</f>
        <v/>
      </c>
      <c r="Z11" s="258">
        <f>Maaned!CA13</f>
        <v>9</v>
      </c>
      <c r="AA11" s="257" t="str">
        <f>Maaned!CB13</f>
        <v>to</v>
      </c>
      <c r="AB11" s="267" t="str">
        <f>Maaned!CC13</f>
        <v>Nul-dag</v>
      </c>
      <c r="AC11" s="350" t="str">
        <f>IF(Maaned!CE13&lt;&gt;"",Maaned!CE13,"")</f>
        <v>OBS: 0,64 feriedag og 0,36 "nul-dag"</v>
      </c>
      <c r="AD11" s="387" t="str">
        <f>Maaned!CD13</f>
        <v/>
      </c>
    </row>
    <row r="12" spans="1:30" ht="23" customHeight="1">
      <c r="A12" s="258">
        <f>Maaned!AR14</f>
        <v>10</v>
      </c>
      <c r="B12" s="257" t="str">
        <f>Maaned!AS14</f>
        <v>ma</v>
      </c>
      <c r="C12" s="267" t="str">
        <f>Maaned!AT14</f>
        <v>Nul-dag</v>
      </c>
      <c r="D12" s="350" t="str">
        <f>IF(Maaned!AV14&lt;&gt;"",Maaned!AV14,"")</f>
        <v>Elevernes vinterferie</v>
      </c>
      <c r="E12" s="380">
        <f>Maaned!AU14</f>
        <v>6.7142857142857144</v>
      </c>
      <c r="F12" s="258">
        <f>Maaned!AY14</f>
        <v>10</v>
      </c>
      <c r="G12" s="257" t="str">
        <f>Maaned!AZ14</f>
        <v>ti</v>
      </c>
      <c r="H12" s="267" t="str">
        <f>Maaned!BA14</f>
        <v>skoledag</v>
      </c>
      <c r="I12" s="350" t="str">
        <f>IF(Maaned!BC14&lt;&gt;"",Maaned!BC14,"")</f>
        <v/>
      </c>
      <c r="J12" s="380" t="str">
        <f>Maaned!BB14</f>
        <v/>
      </c>
      <c r="K12" s="258">
        <f>Maaned!BF14</f>
        <v>10</v>
      </c>
      <c r="L12" s="257" t="str">
        <f>Maaned!BG14</f>
        <v>fr</v>
      </c>
      <c r="M12" s="267" t="str">
        <f>Maaned!BH14</f>
        <v>SH-dag</v>
      </c>
      <c r="N12" s="350" t="str">
        <f>IF(Maaned!BJ14&lt;&gt;"",Maaned!BJ14,"")</f>
        <v>Langfredag</v>
      </c>
      <c r="O12" s="380" t="str">
        <f>Maaned!BI14</f>
        <v/>
      </c>
      <c r="P12" s="258">
        <f>Maaned!BM14</f>
        <v>10</v>
      </c>
      <c r="Q12" s="257" t="str">
        <f>Maaned!BN14</f>
        <v>sø</v>
      </c>
      <c r="R12" s="267" t="str">
        <f>Maaned!BO14</f>
        <v>weekend</v>
      </c>
      <c r="S12" s="350" t="str">
        <f>IF(Maaned!BQ14&lt;&gt;"",Maaned!BQ14,"")</f>
        <v/>
      </c>
      <c r="T12" s="380" t="str">
        <f>Maaned!BP14</f>
        <v/>
      </c>
      <c r="U12" s="258">
        <f>Maaned!BT14</f>
        <v>10</v>
      </c>
      <c r="V12" s="257" t="str">
        <f>Maaned!BU14</f>
        <v>on</v>
      </c>
      <c r="W12" s="267" t="str">
        <f>Maaned!BV14</f>
        <v>skoledag</v>
      </c>
      <c r="X12" s="350" t="str">
        <f>IF(Maaned!BX14&lt;&gt;"",Maaned!BX14,"")</f>
        <v/>
      </c>
      <c r="Y12" s="380" t="str">
        <f>Maaned!BW14</f>
        <v/>
      </c>
      <c r="Z12" s="258">
        <f>Maaned!CA14</f>
        <v>10</v>
      </c>
      <c r="AA12" s="257" t="str">
        <f>Maaned!CB14</f>
        <v>fr</v>
      </c>
      <c r="AB12" s="267" t="str">
        <f>Maaned!CC14</f>
        <v>feriedag</v>
      </c>
      <c r="AC12" s="350" t="str">
        <f>IF(Maaned!CE14&lt;&gt;"",Maaned!CE14,"")</f>
        <v>Sommerferie</v>
      </c>
      <c r="AD12" s="387" t="str">
        <f>Maaned!CD14</f>
        <v/>
      </c>
    </row>
    <row r="13" spans="1:30" ht="23" customHeight="1">
      <c r="A13" s="258">
        <f>Maaned!AR15</f>
        <v>11</v>
      </c>
      <c r="B13" s="257" t="str">
        <f>Maaned!AS15</f>
        <v>ti</v>
      </c>
      <c r="C13" s="267" t="str">
        <f>Maaned!AT15</f>
        <v>Nul-dag</v>
      </c>
      <c r="D13" s="350" t="str">
        <f>IF(Maaned!AV15&lt;&gt;"",Maaned!AV15,"")</f>
        <v>Elevernes vinterferie</v>
      </c>
      <c r="E13" s="380" t="str">
        <f>Maaned!AU15</f>
        <v/>
      </c>
      <c r="F13" s="258">
        <f>Maaned!AY15</f>
        <v>11</v>
      </c>
      <c r="G13" s="257" t="str">
        <f>Maaned!AZ15</f>
        <v>on</v>
      </c>
      <c r="H13" s="267" t="str">
        <f>Maaned!BA15</f>
        <v>skoledag</v>
      </c>
      <c r="I13" s="350" t="str">
        <f>IF(Maaned!BC15&lt;&gt;"",Maaned!BC15,"")</f>
        <v/>
      </c>
      <c r="J13" s="380" t="str">
        <f>Maaned!BB15</f>
        <v/>
      </c>
      <c r="K13" s="258">
        <f>Maaned!BF15</f>
        <v>11</v>
      </c>
      <c r="L13" s="257" t="str">
        <f>Maaned!BG15</f>
        <v>lø</v>
      </c>
      <c r="M13" s="267" t="str">
        <f>Maaned!BH15</f>
        <v>weekend</v>
      </c>
      <c r="N13" s="350" t="str">
        <f>IF(Maaned!BJ15&lt;&gt;"",Maaned!BJ15,"")</f>
        <v/>
      </c>
      <c r="O13" s="380" t="str">
        <f>Maaned!BI15</f>
        <v/>
      </c>
      <c r="P13" s="258">
        <f>Maaned!BM15</f>
        <v>11</v>
      </c>
      <c r="Q13" s="257" t="str">
        <f>Maaned!BN15</f>
        <v>ma</v>
      </c>
      <c r="R13" s="267" t="str">
        <f>Maaned!BO15</f>
        <v>skoledag</v>
      </c>
      <c r="S13" s="350" t="str">
        <f>IF(Maaned!BQ16&lt;&gt;"",Maaned!BQ16,"")</f>
        <v/>
      </c>
      <c r="T13" s="380">
        <f>Maaned!BP15</f>
        <v>19.714285714285715</v>
      </c>
      <c r="U13" s="258">
        <f>Maaned!BT15</f>
        <v>11</v>
      </c>
      <c r="V13" s="257" t="str">
        <f>Maaned!BU15</f>
        <v>to</v>
      </c>
      <c r="W13" s="267" t="str">
        <f>Maaned!BV15</f>
        <v>skoledag</v>
      </c>
      <c r="X13" s="350" t="str">
        <f>IF(Maaned!BX15&lt;&gt;"",Maaned!BX15,"")</f>
        <v/>
      </c>
      <c r="Y13" s="380" t="str">
        <f>Maaned!BW15</f>
        <v/>
      </c>
      <c r="Z13" s="258">
        <f>Maaned!CA15</f>
        <v>11</v>
      </c>
      <c r="AA13" s="257" t="str">
        <f>Maaned!CB15</f>
        <v>lø</v>
      </c>
      <c r="AB13" s="267" t="str">
        <f>Maaned!CC15</f>
        <v>weekend</v>
      </c>
      <c r="AC13" s="350" t="str">
        <f>IF(Maaned!CE15&lt;&gt;"",Maaned!CE15,"")</f>
        <v/>
      </c>
      <c r="AD13" s="387" t="str">
        <f>Maaned!CD15</f>
        <v/>
      </c>
    </row>
    <row r="14" spans="1:30" ht="23" customHeight="1">
      <c r="A14" s="258">
        <f>Maaned!AR16</f>
        <v>12</v>
      </c>
      <c r="B14" s="257" t="str">
        <f>Maaned!AS16</f>
        <v>on</v>
      </c>
      <c r="C14" s="267" t="s">
        <v>268</v>
      </c>
      <c r="D14" s="350" t="str">
        <f>IF(Maaned!AV16&lt;&gt;"",Maaned!AV16,"")</f>
        <v>Elevernes vinterferie</v>
      </c>
      <c r="E14" s="380" t="str">
        <f>Maaned!AU16</f>
        <v/>
      </c>
      <c r="F14" s="258">
        <f>Maaned!AY16</f>
        <v>12</v>
      </c>
      <c r="G14" s="257" t="str">
        <f>Maaned!AZ16</f>
        <v>to</v>
      </c>
      <c r="H14" s="267" t="str">
        <f>Maaned!BA16</f>
        <v>skoledag</v>
      </c>
      <c r="I14" s="350" t="str">
        <f>IF(Maaned!BC16&lt;&gt;"",Maaned!BC16,"")</f>
        <v/>
      </c>
      <c r="J14" s="380" t="str">
        <f>Maaned!BB16</f>
        <v/>
      </c>
      <c r="K14" s="258">
        <f>Maaned!BF16</f>
        <v>12</v>
      </c>
      <c r="L14" s="257" t="str">
        <f>Maaned!BG16</f>
        <v>sø</v>
      </c>
      <c r="M14" s="267" t="str">
        <f>Maaned!BH16</f>
        <v>weekend</v>
      </c>
      <c r="N14" s="350" t="str">
        <f>IF(Maaned!BJ16&lt;&gt;"",Maaned!BJ16,"")</f>
        <v>Påskedag</v>
      </c>
      <c r="O14" s="380" t="str">
        <f>Maaned!BI16</f>
        <v/>
      </c>
      <c r="P14" s="258">
        <f>Maaned!BM16</f>
        <v>12</v>
      </c>
      <c r="Q14" s="257" t="str">
        <f>Maaned!BN16</f>
        <v>ti</v>
      </c>
      <c r="R14" s="267" t="str">
        <f>Maaned!BO16</f>
        <v>skoledag</v>
      </c>
      <c r="S14" s="350" t="str">
        <f>IF(Maaned!BQ17&lt;&gt;"",Maaned!BQ17,"")</f>
        <v/>
      </c>
      <c r="T14" s="380" t="str">
        <f>Maaned!BP16</f>
        <v/>
      </c>
      <c r="U14" s="258">
        <f>Maaned!BT16</f>
        <v>12</v>
      </c>
      <c r="V14" s="257" t="str">
        <f>Maaned!BU16</f>
        <v>fr</v>
      </c>
      <c r="W14" s="267" t="str">
        <f>Maaned!BV16</f>
        <v>skoledag</v>
      </c>
      <c r="X14" s="350" t="str">
        <f>IF(Maaned!BX16&lt;&gt;"",Maaned!BX16,"")</f>
        <v/>
      </c>
      <c r="Y14" s="380" t="str">
        <f>Maaned!BW16</f>
        <v/>
      </c>
      <c r="Z14" s="258">
        <f>Maaned!CA16</f>
        <v>12</v>
      </c>
      <c r="AA14" s="257" t="str">
        <f>Maaned!CB16</f>
        <v>sø</v>
      </c>
      <c r="AB14" s="267" t="str">
        <f>Maaned!CC16</f>
        <v>weekend</v>
      </c>
      <c r="AC14" s="350" t="str">
        <f>IF(Maaned!CE16&lt;&gt;"",Maaned!CE16,"")</f>
        <v/>
      </c>
      <c r="AD14" s="387" t="str">
        <f>Maaned!CD16</f>
        <v/>
      </c>
    </row>
    <row r="15" spans="1:30" ht="23" customHeight="1">
      <c r="A15" s="258">
        <f>Maaned!AR17</f>
        <v>13</v>
      </c>
      <c r="B15" s="257" t="str">
        <f>Maaned!AS17</f>
        <v>to</v>
      </c>
      <c r="C15" s="267" t="str">
        <f>Maaned!AT17</f>
        <v>Nul-dag</v>
      </c>
      <c r="D15" s="350" t="str">
        <f>IF(Maaned!AV17&lt;&gt;"",Maaned!AV17,"")</f>
        <v>Elevernes vinterferie</v>
      </c>
      <c r="E15" s="380" t="str">
        <f>Maaned!AU17</f>
        <v/>
      </c>
      <c r="F15" s="258">
        <f>Maaned!AY17</f>
        <v>13</v>
      </c>
      <c r="G15" s="257" t="str">
        <f>Maaned!AZ17</f>
        <v>fr</v>
      </c>
      <c r="H15" s="267" t="str">
        <f>Maaned!BA17</f>
        <v>skoledag</v>
      </c>
      <c r="I15" s="350" t="str">
        <f>IF(Maaned!BC17&lt;&gt;"",Maaned!BC17,"")</f>
        <v/>
      </c>
      <c r="J15" s="380" t="str">
        <f>Maaned!BB17</f>
        <v/>
      </c>
      <c r="K15" s="258">
        <f>Maaned!BF17</f>
        <v>13</v>
      </c>
      <c r="L15" s="257" t="str">
        <f>Maaned!BG17</f>
        <v>ma</v>
      </c>
      <c r="M15" s="267" t="str">
        <f>Maaned!BH17</f>
        <v>SH-dag</v>
      </c>
      <c r="N15" s="350" t="str">
        <f>IF(Maaned!BJ17&lt;&gt;"",Maaned!BJ17,"")</f>
        <v>2. Påskedag</v>
      </c>
      <c r="O15" s="380">
        <f>Maaned!BI17</f>
        <v>15.714285714285714</v>
      </c>
      <c r="P15" s="258">
        <f>Maaned!BM17</f>
        <v>13</v>
      </c>
      <c r="Q15" s="257" t="str">
        <f>Maaned!BN17</f>
        <v>on</v>
      </c>
      <c r="R15" s="267" t="str">
        <f>Maaned!BO17</f>
        <v>skoledag</v>
      </c>
      <c r="S15" s="350" t="str">
        <f>IF(Maaned!BQ18&lt;&gt;"",Maaned!BQ18,"")</f>
        <v/>
      </c>
      <c r="T15" s="380" t="str">
        <f>Maaned!BP17</f>
        <v/>
      </c>
      <c r="U15" s="258">
        <f>Maaned!BT17</f>
        <v>13</v>
      </c>
      <c r="V15" s="257" t="str">
        <f>Maaned!BU17</f>
        <v>lø</v>
      </c>
      <c r="W15" s="267" t="str">
        <f>Maaned!BV17</f>
        <v>Weekend</v>
      </c>
      <c r="X15" s="350" t="str">
        <f>IF(Maaned!BX17&lt;&gt;"",Maaned!BX17,"")</f>
        <v/>
      </c>
      <c r="Y15" s="380" t="str">
        <f>Maaned!BW17</f>
        <v/>
      </c>
      <c r="Z15" s="258">
        <f>Maaned!CA17</f>
        <v>13</v>
      </c>
      <c r="AA15" s="257" t="str">
        <f>Maaned!CB17</f>
        <v>ma</v>
      </c>
      <c r="AB15" s="267" t="str">
        <f>Maaned!CC17</f>
        <v>feriedag</v>
      </c>
      <c r="AC15" s="350" t="str">
        <f>IF(Maaned!CE17&lt;&gt;"",Maaned!CE17,"")</f>
        <v>Sommerferie</v>
      </c>
      <c r="AD15" s="387">
        <f>Maaned!CD17</f>
        <v>28.714285714285715</v>
      </c>
    </row>
    <row r="16" spans="1:30" ht="23" customHeight="1">
      <c r="A16" s="258">
        <f>Maaned!AR18</f>
        <v>14</v>
      </c>
      <c r="B16" s="257" t="str">
        <f>Maaned!AS18</f>
        <v>fr</v>
      </c>
      <c r="C16" s="267" t="str">
        <f>Maaned!AT18</f>
        <v>Nul-dag</v>
      </c>
      <c r="D16" s="350" t="str">
        <f>IF(Maaned!AV18&lt;&gt;"",Maaned!AV18,"")</f>
        <v>Elevernes vinterferie</v>
      </c>
      <c r="E16" s="380" t="str">
        <f>Maaned!AU18</f>
        <v/>
      </c>
      <c r="F16" s="258">
        <f>Maaned!AY18</f>
        <v>14</v>
      </c>
      <c r="G16" s="257" t="str">
        <f>Maaned!AZ18</f>
        <v>lø</v>
      </c>
      <c r="H16" s="267" t="str">
        <f>Maaned!BA18</f>
        <v>weekend</v>
      </c>
      <c r="I16" s="350" t="str">
        <f>IF(Maaned!BC18&lt;&gt;"",Maaned!BC18,"")</f>
        <v/>
      </c>
      <c r="J16" s="380" t="str">
        <f>Maaned!BB18</f>
        <v/>
      </c>
      <c r="K16" s="258">
        <f>Maaned!BF18</f>
        <v>14</v>
      </c>
      <c r="L16" s="257" t="str">
        <f>Maaned!BG18</f>
        <v>ti</v>
      </c>
      <c r="M16" s="267" t="str">
        <f>Maaned!BH18</f>
        <v>skoledag</v>
      </c>
      <c r="N16" s="350" t="str">
        <f>IF(Maaned!BJ18&lt;&gt;"",Maaned!BJ18,"")</f>
        <v/>
      </c>
      <c r="O16" s="380" t="str">
        <f>Maaned!BI18</f>
        <v/>
      </c>
      <c r="P16" s="258">
        <f>Maaned!BM18</f>
        <v>14</v>
      </c>
      <c r="Q16" s="257" t="str">
        <f>Maaned!BN18</f>
        <v>to</v>
      </c>
      <c r="R16" s="267" t="str">
        <f>Maaned!BO18</f>
        <v>skoledag</v>
      </c>
      <c r="S16" s="350" t="str">
        <f>IF(Maaned!BQ19&lt;&gt;"",Maaned!BQ19,"")</f>
        <v/>
      </c>
      <c r="T16" s="380" t="str">
        <f>Maaned!BP18</f>
        <v/>
      </c>
      <c r="U16" s="258">
        <f>Maaned!BT18</f>
        <v>14</v>
      </c>
      <c r="V16" s="257" t="str">
        <f>Maaned!BU18</f>
        <v>sø</v>
      </c>
      <c r="W16" s="267" t="str">
        <f>Maaned!BV18</f>
        <v>Weekend</v>
      </c>
      <c r="X16" s="350" t="str">
        <f>IF(Maaned!BX18&lt;&gt;"",Maaned!BX18,"")</f>
        <v/>
      </c>
      <c r="Y16" s="380" t="str">
        <f>Maaned!BW18</f>
        <v/>
      </c>
      <c r="Z16" s="258">
        <f>Maaned!CA18</f>
        <v>14</v>
      </c>
      <c r="AA16" s="257" t="str">
        <f>Maaned!CB18</f>
        <v>ti</v>
      </c>
      <c r="AB16" s="267" t="str">
        <f>Maaned!CC18</f>
        <v>feriedag</v>
      </c>
      <c r="AC16" s="350" t="str">
        <f>IF(Maaned!CE18&lt;&gt;"",Maaned!CE18,"")</f>
        <v>Sommerferie</v>
      </c>
      <c r="AD16" s="387" t="str">
        <f>Maaned!CD18</f>
        <v/>
      </c>
    </row>
    <row r="17" spans="1:30" ht="23" customHeight="1">
      <c r="A17" s="258">
        <f>Maaned!AR19</f>
        <v>15</v>
      </c>
      <c r="B17" s="257" t="str">
        <f>Maaned!AS19</f>
        <v>lø</v>
      </c>
      <c r="C17" s="267" t="str">
        <f>Maaned!AT19</f>
        <v>weekend</v>
      </c>
      <c r="D17" s="350" t="str">
        <f>IF(Maaned!AV19&lt;&gt;"",Maaned!AV19,"")</f>
        <v/>
      </c>
      <c r="E17" s="380" t="str">
        <f>Maaned!AU19</f>
        <v/>
      </c>
      <c r="F17" s="258">
        <f>Maaned!AY19</f>
        <v>15</v>
      </c>
      <c r="G17" s="257" t="str">
        <f>Maaned!AZ19</f>
        <v>sø</v>
      </c>
      <c r="H17" s="267" t="str">
        <f>Maaned!BA19</f>
        <v>weekend</v>
      </c>
      <c r="I17" s="350" t="str">
        <f>IF(Maaned!BC19&lt;&gt;"",Maaned!BC19,"")</f>
        <v/>
      </c>
      <c r="J17" s="380" t="str">
        <f>Maaned!BB19</f>
        <v/>
      </c>
      <c r="K17" s="258">
        <f>Maaned!BF19</f>
        <v>15</v>
      </c>
      <c r="L17" s="257" t="str">
        <f>Maaned!BG19</f>
        <v>on</v>
      </c>
      <c r="M17" s="267" t="str">
        <f>Maaned!BH19</f>
        <v>skoledag</v>
      </c>
      <c r="N17" s="350" t="str">
        <f>IF(Maaned!BJ19&lt;&gt;"",Maaned!BJ19,"")</f>
        <v/>
      </c>
      <c r="O17" s="380" t="str">
        <f>Maaned!BI19</f>
        <v/>
      </c>
      <c r="P17" s="258">
        <f>Maaned!BM19</f>
        <v>15</v>
      </c>
      <c r="Q17" s="257" t="str">
        <f>Maaned!BN19</f>
        <v>fr</v>
      </c>
      <c r="R17" s="267" t="str">
        <f>Maaned!BO19</f>
        <v>skoledag</v>
      </c>
      <c r="S17" s="350" t="str">
        <f>IF(Maaned!BQ20&lt;&gt;"",Maaned!BQ20,"")</f>
        <v/>
      </c>
      <c r="T17" s="380" t="str">
        <f>Maaned!BP19</f>
        <v/>
      </c>
      <c r="U17" s="258">
        <f>Maaned!BT19</f>
        <v>15</v>
      </c>
      <c r="V17" s="257" t="str">
        <f>Maaned!BU19</f>
        <v>ma</v>
      </c>
      <c r="W17" s="267" t="str">
        <f>Maaned!BV19</f>
        <v>skoledag</v>
      </c>
      <c r="X17" s="350" t="str">
        <f>IF(Maaned!BX19&lt;&gt;"",Maaned!BX19,"")</f>
        <v/>
      </c>
      <c r="Y17" s="380">
        <f>Maaned!BW19</f>
        <v>24.714285714285715</v>
      </c>
      <c r="Z17" s="258">
        <f>Maaned!CA19</f>
        <v>15</v>
      </c>
      <c r="AA17" s="257" t="str">
        <f>Maaned!CB19</f>
        <v>on</v>
      </c>
      <c r="AB17" s="267" t="str">
        <f>Maaned!CC19</f>
        <v>feriedag</v>
      </c>
      <c r="AC17" s="350" t="str">
        <f>IF(Maaned!CE19&lt;&gt;"",Maaned!CE19,"")</f>
        <v>Sommerferie</v>
      </c>
      <c r="AD17" s="387" t="str">
        <f>Maaned!CD19</f>
        <v/>
      </c>
    </row>
    <row r="18" spans="1:30" ht="23" customHeight="1">
      <c r="A18" s="258">
        <f>Maaned!AR20</f>
        <v>16</v>
      </c>
      <c r="B18" s="257" t="str">
        <f>Maaned!AS20</f>
        <v>sø</v>
      </c>
      <c r="C18" s="267" t="str">
        <f>Maaned!AT20</f>
        <v>weekend</v>
      </c>
      <c r="D18" s="350" t="str">
        <f>IF(Maaned!AV20&lt;&gt;"",Maaned!AV20,"")</f>
        <v/>
      </c>
      <c r="E18" s="380" t="str">
        <f>Maaned!AU20</f>
        <v/>
      </c>
      <c r="F18" s="258">
        <f>Maaned!AY20</f>
        <v>16</v>
      </c>
      <c r="G18" s="257" t="str">
        <f>Maaned!AZ20</f>
        <v>ma</v>
      </c>
      <c r="H18" s="267" t="str">
        <f>Maaned!BA20</f>
        <v>skoledag</v>
      </c>
      <c r="I18" s="350" t="str">
        <f>IF(Maaned!BC20&lt;&gt;"",Maaned!BC20,"")</f>
        <v/>
      </c>
      <c r="J18" s="380">
        <f>Maaned!BB20</f>
        <v>11.714285714285714</v>
      </c>
      <c r="K18" s="258">
        <f>Maaned!BF20</f>
        <v>16</v>
      </c>
      <c r="L18" s="257" t="str">
        <f>Maaned!BG20</f>
        <v>to</v>
      </c>
      <c r="M18" s="267" t="str">
        <f>Maaned!BH20</f>
        <v>skoledag</v>
      </c>
      <c r="N18" s="350" t="str">
        <f>IF(Maaned!BJ20&lt;&gt;"",Maaned!BJ20,"")</f>
        <v/>
      </c>
      <c r="O18" s="380" t="str">
        <f>Maaned!BI20</f>
        <v/>
      </c>
      <c r="P18" s="258">
        <f>Maaned!BM20</f>
        <v>16</v>
      </c>
      <c r="Q18" s="257" t="str">
        <f>Maaned!BN20</f>
        <v>lø</v>
      </c>
      <c r="R18" s="267" t="str">
        <f>Maaned!BO20</f>
        <v>weekend</v>
      </c>
      <c r="S18" s="350" t="str">
        <f>IF(Maaned!BQ20&lt;&gt;"",Maaned!BQ20,"")</f>
        <v/>
      </c>
      <c r="T18" s="380" t="str">
        <f>Maaned!BP20</f>
        <v/>
      </c>
      <c r="U18" s="258">
        <f>Maaned!BT20</f>
        <v>16</v>
      </c>
      <c r="V18" s="257" t="str">
        <f>Maaned!BU20</f>
        <v>ti</v>
      </c>
      <c r="W18" s="267" t="str">
        <f>Maaned!BV20</f>
        <v>skoledag</v>
      </c>
      <c r="X18" s="350" t="str">
        <f>IF(Maaned!BX20&lt;&gt;"",Maaned!BX20,"")</f>
        <v/>
      </c>
      <c r="Y18" s="380" t="str">
        <f>Maaned!BW20</f>
        <v/>
      </c>
      <c r="Z18" s="258">
        <f>Maaned!CA20</f>
        <v>16</v>
      </c>
      <c r="AA18" s="257" t="str">
        <f>Maaned!CB20</f>
        <v>to</v>
      </c>
      <c r="AB18" s="267" t="str">
        <f>Maaned!CC20</f>
        <v>feriedag</v>
      </c>
      <c r="AC18" s="350" t="str">
        <f>IF(Maaned!CE20&lt;&gt;"",Maaned!CE20,"")</f>
        <v>Sommerferie</v>
      </c>
      <c r="AD18" s="387" t="str">
        <f>Maaned!CD20</f>
        <v/>
      </c>
    </row>
    <row r="19" spans="1:30" ht="23" customHeight="1">
      <c r="A19" s="258">
        <f>Maaned!AR21</f>
        <v>17</v>
      </c>
      <c r="B19" s="257" t="str">
        <f>Maaned!AS21</f>
        <v>ma</v>
      </c>
      <c r="C19" s="267" t="str">
        <f>Maaned!AT21</f>
        <v>skoledag</v>
      </c>
      <c r="D19" s="350" t="str">
        <f>IF(Maaned!AV21&lt;&gt;"",Maaned!AV21,"")</f>
        <v/>
      </c>
      <c r="E19" s="380">
        <f>Maaned!AU21</f>
        <v>7.7142857142857144</v>
      </c>
      <c r="F19" s="258">
        <f>Maaned!AY21</f>
        <v>17</v>
      </c>
      <c r="G19" s="257" t="str">
        <f>Maaned!AZ21</f>
        <v>ti</v>
      </c>
      <c r="H19" s="267" t="str">
        <f>Maaned!BA21</f>
        <v>skoledag</v>
      </c>
      <c r="I19" s="350" t="str">
        <f>IF(Maaned!BC21&lt;&gt;"",Maaned!BC21,"")</f>
        <v/>
      </c>
      <c r="J19" s="380" t="str">
        <f>Maaned!BB21</f>
        <v/>
      </c>
      <c r="K19" s="258">
        <f>Maaned!BF21</f>
        <v>17</v>
      </c>
      <c r="L19" s="257" t="str">
        <f>Maaned!BG21</f>
        <v>fr</v>
      </c>
      <c r="M19" s="267" t="str">
        <f>Maaned!BH21</f>
        <v>skoledag</v>
      </c>
      <c r="N19" s="350" t="str">
        <f>IF(Maaned!BJ21&lt;&gt;"",Maaned!BJ21,"")</f>
        <v/>
      </c>
      <c r="O19" s="380" t="str">
        <f>Maaned!BI21</f>
        <v/>
      </c>
      <c r="P19" s="258">
        <f>Maaned!BM21</f>
        <v>17</v>
      </c>
      <c r="Q19" s="257" t="str">
        <f>Maaned!BN21</f>
        <v>sø</v>
      </c>
      <c r="R19" s="267" t="str">
        <f>Maaned!BO21</f>
        <v>weekend</v>
      </c>
      <c r="S19" s="350" t="str">
        <f>IF(Maaned!BQ21&lt;&gt;"",Maaned!BQ21,"")</f>
        <v/>
      </c>
      <c r="T19" s="380" t="str">
        <f>Maaned!BP21</f>
        <v/>
      </c>
      <c r="U19" s="258">
        <f>Maaned!BT21</f>
        <v>17</v>
      </c>
      <c r="V19" s="257" t="str">
        <f>Maaned!BU21</f>
        <v>on</v>
      </c>
      <c r="W19" s="267" t="str">
        <f>Maaned!BV21</f>
        <v>skoledag</v>
      </c>
      <c r="X19" s="350" t="str">
        <f>IF(Maaned!BX21&lt;&gt;"",Maaned!BX21,"")</f>
        <v/>
      </c>
      <c r="Y19" s="380" t="str">
        <f>Maaned!BW21</f>
        <v/>
      </c>
      <c r="Z19" s="258">
        <f>Maaned!CA21</f>
        <v>17</v>
      </c>
      <c r="AA19" s="257" t="str">
        <f>Maaned!CB21</f>
        <v>fr</v>
      </c>
      <c r="AB19" s="267" t="str">
        <f>Maaned!CC21</f>
        <v>feriedag</v>
      </c>
      <c r="AC19" s="350" t="str">
        <f>IF(Maaned!CE21&lt;&gt;"",Maaned!CE21,"")</f>
        <v>Sommerferie</v>
      </c>
      <c r="AD19" s="387" t="str">
        <f>Maaned!CD21</f>
        <v/>
      </c>
    </row>
    <row r="20" spans="1:30" ht="23" customHeight="1">
      <c r="A20" s="258">
        <f>Maaned!AR22</f>
        <v>18</v>
      </c>
      <c r="B20" s="257" t="str">
        <f>Maaned!AS22</f>
        <v>ti</v>
      </c>
      <c r="C20" s="267" t="str">
        <f>Maaned!AT22</f>
        <v>skoledag</v>
      </c>
      <c r="D20" s="350" t="str">
        <f>IF(Maaned!AV22&lt;&gt;"",Maaned!AV22,"")</f>
        <v/>
      </c>
      <c r="E20" s="380" t="str">
        <f>Maaned!AU22</f>
        <v/>
      </c>
      <c r="F20" s="258">
        <f>Maaned!AY22</f>
        <v>18</v>
      </c>
      <c r="G20" s="257" t="str">
        <f>Maaned!AZ22</f>
        <v>on</v>
      </c>
      <c r="H20" s="267" t="str">
        <f>Maaned!BA22</f>
        <v>skoledag</v>
      </c>
      <c r="I20" s="350" t="str">
        <f>IF(Maaned!BC22&lt;&gt;"",Maaned!BC22,"")</f>
        <v/>
      </c>
      <c r="J20" s="380" t="str">
        <f>Maaned!BB22</f>
        <v/>
      </c>
      <c r="K20" s="258">
        <f>Maaned!BF22</f>
        <v>18</v>
      </c>
      <c r="L20" s="257" t="str">
        <f>Maaned!BG22</f>
        <v>lø</v>
      </c>
      <c r="M20" s="267" t="str">
        <f>Maaned!BH22</f>
        <v>weekend</v>
      </c>
      <c r="N20" s="350" t="str">
        <f>IF(Maaned!BJ22&lt;&gt;"",Maaned!BJ22,"")</f>
        <v/>
      </c>
      <c r="O20" s="380" t="str">
        <f>Maaned!BI22</f>
        <v/>
      </c>
      <c r="P20" s="258">
        <f>Maaned!BM22</f>
        <v>18</v>
      </c>
      <c r="Q20" s="257" t="str">
        <f>Maaned!BN22</f>
        <v>ma</v>
      </c>
      <c r="R20" s="267" t="str">
        <f>Maaned!BO22</f>
        <v>skoledag</v>
      </c>
      <c r="S20" s="350" t="str">
        <f>IF(Maaned!BQ22&lt;&gt;"",Maaned!BQ22,"")</f>
        <v/>
      </c>
      <c r="T20" s="380">
        <f>Maaned!BP22</f>
        <v>20.714285714285715</v>
      </c>
      <c r="U20" s="258">
        <f>Maaned!BT22</f>
        <v>18</v>
      </c>
      <c r="V20" s="257" t="str">
        <f>Maaned!BU22</f>
        <v>to</v>
      </c>
      <c r="W20" s="267" t="str">
        <f>Maaned!BV22</f>
        <v>skoledag</v>
      </c>
      <c r="X20" s="350" t="str">
        <f>IF(Maaned!BX22&lt;&gt;"",Maaned!BX22,"")</f>
        <v/>
      </c>
      <c r="Y20" s="380" t="str">
        <f>Maaned!BW22</f>
        <v/>
      </c>
      <c r="Z20" s="258">
        <f>Maaned!CA22</f>
        <v>18</v>
      </c>
      <c r="AA20" s="257" t="str">
        <f>Maaned!CB22</f>
        <v>lø</v>
      </c>
      <c r="AB20" s="267" t="str">
        <f>Maaned!CC22</f>
        <v>weekend</v>
      </c>
      <c r="AC20" s="350" t="str">
        <f>IF(Maaned!CE22&lt;&gt;"",Maaned!CE22,"")</f>
        <v/>
      </c>
      <c r="AD20" s="387" t="str">
        <f>Maaned!CD22</f>
        <v/>
      </c>
    </row>
    <row r="21" spans="1:30" ht="23" customHeight="1">
      <c r="A21" s="258">
        <f>Maaned!AR23</f>
        <v>19</v>
      </c>
      <c r="B21" s="257" t="str">
        <f>Maaned!AS23</f>
        <v>on</v>
      </c>
      <c r="C21" s="267" t="str">
        <f>Maaned!AT23</f>
        <v>skoledag</v>
      </c>
      <c r="D21" s="350" t="str">
        <f>IF(Maaned!AV23&lt;&gt;"",Maaned!AV23,"")</f>
        <v/>
      </c>
      <c r="E21" s="380" t="str">
        <f>Maaned!AU23</f>
        <v/>
      </c>
      <c r="F21" s="258">
        <f>Maaned!AY23</f>
        <v>19</v>
      </c>
      <c r="G21" s="257" t="str">
        <f>Maaned!AZ23</f>
        <v>to</v>
      </c>
      <c r="H21" s="267" t="str">
        <f>Maaned!BA23</f>
        <v>skoledag</v>
      </c>
      <c r="I21" s="350" t="str">
        <f>IF(Maaned!BC23&lt;&gt;"",Maaned!BC23,"")</f>
        <v/>
      </c>
      <c r="J21" s="380" t="str">
        <f>Maaned!BB23</f>
        <v/>
      </c>
      <c r="K21" s="258">
        <f>Maaned!BF23</f>
        <v>19</v>
      </c>
      <c r="L21" s="257" t="str">
        <f>Maaned!BG23</f>
        <v>sø</v>
      </c>
      <c r="M21" s="267" t="str">
        <f>Maaned!BH23</f>
        <v>weekend</v>
      </c>
      <c r="N21" s="350" t="str">
        <f>IF(Maaned!BJ23&lt;&gt;"",Maaned!BJ23,"")</f>
        <v/>
      </c>
      <c r="O21" s="380" t="str">
        <f>Maaned!BI23</f>
        <v/>
      </c>
      <c r="P21" s="258">
        <f>Maaned!BM23</f>
        <v>19</v>
      </c>
      <c r="Q21" s="257" t="str">
        <f>Maaned!BN23</f>
        <v>ti</v>
      </c>
      <c r="R21" s="267" t="str">
        <f>Maaned!BO23</f>
        <v>skoledag</v>
      </c>
      <c r="S21" s="350" t="str">
        <f>IF(Maaned!BQ23&lt;&gt;"",Maaned!BQ23,"")</f>
        <v/>
      </c>
      <c r="T21" s="380" t="str">
        <f>Maaned!BP23</f>
        <v/>
      </c>
      <c r="U21" s="258">
        <f>Maaned!BT23</f>
        <v>19</v>
      </c>
      <c r="V21" s="257" t="str">
        <f>Maaned!BU23</f>
        <v>fr</v>
      </c>
      <c r="W21" s="267" t="str">
        <f>Maaned!BV23</f>
        <v>skoledag</v>
      </c>
      <c r="X21" s="350" t="str">
        <f>IF(Maaned!BX23&lt;&gt;"",Maaned!BX23,"")</f>
        <v/>
      </c>
      <c r="Y21" s="380" t="str">
        <f>Maaned!BW23</f>
        <v/>
      </c>
      <c r="Z21" s="258">
        <f>Maaned!CA23</f>
        <v>19</v>
      </c>
      <c r="AA21" s="257" t="str">
        <f>Maaned!CB23</f>
        <v>sø</v>
      </c>
      <c r="AB21" s="267" t="str">
        <f>Maaned!CC23</f>
        <v>weekend</v>
      </c>
      <c r="AC21" s="350" t="str">
        <f>IF(Maaned!CE23&lt;&gt;"",Maaned!CE23,"")</f>
        <v/>
      </c>
      <c r="AD21" s="387" t="str">
        <f>Maaned!CD23</f>
        <v/>
      </c>
    </row>
    <row r="22" spans="1:30" ht="23" customHeight="1">
      <c r="A22" s="258">
        <f>Maaned!AR24</f>
        <v>20</v>
      </c>
      <c r="B22" s="257" t="str">
        <f>Maaned!AS24</f>
        <v>to</v>
      </c>
      <c r="C22" s="267" t="str">
        <f>Maaned!AT24</f>
        <v>skoledag</v>
      </c>
      <c r="D22" s="350" t="str">
        <f>IF(Maaned!AV24&lt;&gt;"",Maaned!AV24,"")</f>
        <v/>
      </c>
      <c r="E22" s="380" t="str">
        <f>Maaned!AU24</f>
        <v/>
      </c>
      <c r="F22" s="258">
        <f>Maaned!AY24</f>
        <v>20</v>
      </c>
      <c r="G22" s="257" t="str">
        <f>Maaned!AZ24</f>
        <v>fr</v>
      </c>
      <c r="H22" s="267" t="str">
        <f>Maaned!BA24</f>
        <v>skoledag</v>
      </c>
      <c r="I22" s="350" t="str">
        <f>IF(Maaned!BC24&lt;&gt;"",Maaned!BC24,"")</f>
        <v/>
      </c>
      <c r="J22" s="380" t="str">
        <f>Maaned!BB24</f>
        <v/>
      </c>
      <c r="K22" s="258">
        <f>Maaned!BF24</f>
        <v>20</v>
      </c>
      <c r="L22" s="257" t="str">
        <f>Maaned!BG24</f>
        <v>ma</v>
      </c>
      <c r="M22" s="267" t="str">
        <f>Maaned!BH24</f>
        <v>skoledag</v>
      </c>
      <c r="N22" s="350" t="str">
        <f>IF(Maaned!BJ24&lt;&gt;"",Maaned!BJ24,"")</f>
        <v/>
      </c>
      <c r="O22" s="380">
        <f>Maaned!BI24</f>
        <v>16.714285714285715</v>
      </c>
      <c r="P22" s="258">
        <f>Maaned!BM24</f>
        <v>20</v>
      </c>
      <c r="Q22" s="257" t="str">
        <f>Maaned!BN24</f>
        <v>on</v>
      </c>
      <c r="R22" s="267" t="str">
        <f>Maaned!BO24</f>
        <v>skoledag</v>
      </c>
      <c r="S22" s="350" t="str">
        <f>IF(Maaned!BQ24&lt;&gt;"",Maaned!BQ24,"")</f>
        <v/>
      </c>
      <c r="T22" s="380" t="str">
        <f>Maaned!BP24</f>
        <v/>
      </c>
      <c r="U22" s="258">
        <f>Maaned!BT24</f>
        <v>20</v>
      </c>
      <c r="V22" s="257" t="str">
        <f>Maaned!BU24</f>
        <v>lø</v>
      </c>
      <c r="W22" s="267" t="str">
        <f>Maaned!BV24</f>
        <v>Weekend</v>
      </c>
      <c r="X22" s="350" t="str">
        <f>IF(Maaned!BX24&lt;&gt;"",Maaned!BX24,"")</f>
        <v/>
      </c>
      <c r="Y22" s="380" t="str">
        <f>Maaned!BW24</f>
        <v/>
      </c>
      <c r="Z22" s="258">
        <f>Maaned!CA24</f>
        <v>20</v>
      </c>
      <c r="AA22" s="257" t="str">
        <f>Maaned!CB24</f>
        <v>ma</v>
      </c>
      <c r="AB22" s="267" t="str">
        <f>Maaned!CC24</f>
        <v>feriedag</v>
      </c>
      <c r="AC22" s="350" t="str">
        <f>IF(Maaned!CE24&lt;&gt;"",Maaned!CE24,"")</f>
        <v>Sommerferie</v>
      </c>
      <c r="AD22" s="387">
        <f>Maaned!CD24</f>
        <v>29.714285714285715</v>
      </c>
    </row>
    <row r="23" spans="1:30" ht="23" customHeight="1">
      <c r="A23" s="258">
        <f>Maaned!AR25</f>
        <v>21</v>
      </c>
      <c r="B23" s="257" t="str">
        <f>Maaned!AS25</f>
        <v>fr</v>
      </c>
      <c r="C23" s="267" t="str">
        <f>Maaned!AT25</f>
        <v>skoledag</v>
      </c>
      <c r="D23" s="350" t="str">
        <f>IF(Maaned!AV25&lt;&gt;"",Maaned!AV25,"")</f>
        <v/>
      </c>
      <c r="E23" s="380" t="str">
        <f>Maaned!AU25</f>
        <v/>
      </c>
      <c r="F23" s="258">
        <f>Maaned!AY25</f>
        <v>21</v>
      </c>
      <c r="G23" s="257" t="str">
        <f>Maaned!AZ25</f>
        <v>lø</v>
      </c>
      <c r="H23" s="267" t="str">
        <f>Maaned!BA25</f>
        <v>weekend</v>
      </c>
      <c r="I23" s="350" t="str">
        <f>IF(Maaned!BC25&lt;&gt;"",Maaned!BC25,"")</f>
        <v/>
      </c>
      <c r="J23" s="380" t="str">
        <f>Maaned!BB25</f>
        <v/>
      </c>
      <c r="K23" s="258">
        <f>Maaned!BF25</f>
        <v>21</v>
      </c>
      <c r="L23" s="257" t="str">
        <f>Maaned!BG25</f>
        <v>ti</v>
      </c>
      <c r="M23" s="267" t="str">
        <f>Maaned!BH25</f>
        <v>skoledag</v>
      </c>
      <c r="N23" s="350" t="str">
        <f>IF(Maaned!BJ25&lt;&gt;"",Maaned!BJ25,"")</f>
        <v/>
      </c>
      <c r="O23" s="380" t="str">
        <f>Maaned!BI25</f>
        <v/>
      </c>
      <c r="P23" s="258">
        <f>Maaned!BM25</f>
        <v>21</v>
      </c>
      <c r="Q23" s="257" t="str">
        <f>Maaned!BN25</f>
        <v>to</v>
      </c>
      <c r="R23" s="267" t="str">
        <f>Maaned!BO25</f>
        <v>SH-dag</v>
      </c>
      <c r="S23" s="350" t="str">
        <f>IF(Maaned!BQ25&lt;&gt;"",Maaned!BQ25,"")</f>
        <v>Kr. himmelfartsdag</v>
      </c>
      <c r="T23" s="380" t="str">
        <f>Maaned!BP25</f>
        <v/>
      </c>
      <c r="U23" s="258">
        <f>Maaned!BT25</f>
        <v>21</v>
      </c>
      <c r="V23" s="257" t="str">
        <f>Maaned!BU25</f>
        <v>sø</v>
      </c>
      <c r="W23" s="267" t="str">
        <f>Maaned!BV25</f>
        <v>Weekend</v>
      </c>
      <c r="X23" s="350" t="str">
        <f>IF(Maaned!BX25&lt;&gt;"",Maaned!BX25,"")</f>
        <v/>
      </c>
      <c r="Y23" s="380" t="str">
        <f>Maaned!BW25</f>
        <v/>
      </c>
      <c r="Z23" s="258">
        <f>Maaned!CA25</f>
        <v>21</v>
      </c>
      <c r="AA23" s="257" t="str">
        <f>Maaned!CB25</f>
        <v>ti</v>
      </c>
      <c r="AB23" s="267" t="str">
        <f>Maaned!CC25</f>
        <v>feriedag</v>
      </c>
      <c r="AC23" s="350" t="str">
        <f>IF(Maaned!CE25&lt;&gt;"",Maaned!CE25,"")</f>
        <v>Sommerferie</v>
      </c>
      <c r="AD23" s="387" t="str">
        <f>Maaned!CD25</f>
        <v/>
      </c>
    </row>
    <row r="24" spans="1:30" ht="23" customHeight="1">
      <c r="A24" s="258">
        <f>Maaned!AR26</f>
        <v>22</v>
      </c>
      <c r="B24" s="257" t="str">
        <f>Maaned!AS26</f>
        <v>lø</v>
      </c>
      <c r="C24" s="267" t="str">
        <f>Maaned!AT26</f>
        <v>weekend</v>
      </c>
      <c r="D24" s="350" t="str">
        <f>IF(Maaned!AV26&lt;&gt;"",Maaned!AV26,"")</f>
        <v/>
      </c>
      <c r="E24" s="380" t="str">
        <f>Maaned!AU26</f>
        <v/>
      </c>
      <c r="F24" s="258">
        <f>Maaned!AY26</f>
        <v>22</v>
      </c>
      <c r="G24" s="257" t="str">
        <f>Maaned!AZ26</f>
        <v>sø</v>
      </c>
      <c r="H24" s="267" t="str">
        <f>Maaned!BA26</f>
        <v>weekend</v>
      </c>
      <c r="I24" s="350" t="str">
        <f>IF(Maaned!BC26&lt;&gt;"",Maaned!BC26,"")</f>
        <v/>
      </c>
      <c r="J24" s="380" t="str">
        <f>Maaned!BB26</f>
        <v/>
      </c>
      <c r="K24" s="258">
        <f>Maaned!BF26</f>
        <v>22</v>
      </c>
      <c r="L24" s="257" t="str">
        <f>Maaned!BG26</f>
        <v>on</v>
      </c>
      <c r="M24" s="267" t="str">
        <f>Maaned!BH26</f>
        <v>skoledag</v>
      </c>
      <c r="N24" s="350" t="str">
        <f>IF(Maaned!BJ26&lt;&gt;"",Maaned!BJ26,"")</f>
        <v/>
      </c>
      <c r="O24" s="380" t="str">
        <f>Maaned!BI26</f>
        <v/>
      </c>
      <c r="P24" s="258">
        <f>Maaned!BM26</f>
        <v>22</v>
      </c>
      <c r="Q24" s="257" t="str">
        <f>Maaned!BN26</f>
        <v>fr</v>
      </c>
      <c r="R24" s="267" t="str">
        <f>Maaned!BO26</f>
        <v>Nul-dag</v>
      </c>
      <c r="S24" s="350" t="str">
        <f>IF(Maaned!BQ26&lt;&gt;"",Maaned!BQ26,"")</f>
        <v/>
      </c>
      <c r="T24" s="380" t="str">
        <f>Maaned!BP26</f>
        <v/>
      </c>
      <c r="U24" s="258">
        <f>Maaned!BT26</f>
        <v>22</v>
      </c>
      <c r="V24" s="257" t="str">
        <f>Maaned!BU26</f>
        <v>ma</v>
      </c>
      <c r="W24" s="267" t="str">
        <f>Maaned!BV26</f>
        <v>skoledag</v>
      </c>
      <c r="X24" s="350" t="str">
        <f>IF(Maaned!BX26&lt;&gt;"",Maaned!BX26,"")</f>
        <v/>
      </c>
      <c r="Y24" s="380">
        <f>Maaned!BW26</f>
        <v>25.714285714285715</v>
      </c>
      <c r="Z24" s="258">
        <f>Maaned!CA26</f>
        <v>22</v>
      </c>
      <c r="AA24" s="257" t="str">
        <f>Maaned!CB26</f>
        <v>on</v>
      </c>
      <c r="AB24" s="267" t="str">
        <f>Maaned!CC26</f>
        <v>feriedag</v>
      </c>
      <c r="AC24" s="350" t="str">
        <f>IF(Maaned!CE26&lt;&gt;"",Maaned!CE26,"")</f>
        <v>Sommerferie</v>
      </c>
      <c r="AD24" s="387" t="str">
        <f>Maaned!CD26</f>
        <v/>
      </c>
    </row>
    <row r="25" spans="1:30" ht="23" customHeight="1">
      <c r="A25" s="258">
        <f>Maaned!AR27</f>
        <v>23</v>
      </c>
      <c r="B25" s="257" t="str">
        <f>Maaned!AS27</f>
        <v>sø</v>
      </c>
      <c r="C25" s="267" t="str">
        <f>Maaned!AT27</f>
        <v>weekend</v>
      </c>
      <c r="D25" s="350" t="str">
        <f>IF(Maaned!AV27&lt;&gt;"",Maaned!AV27,"")</f>
        <v/>
      </c>
      <c r="E25" s="380" t="str">
        <f>Maaned!AU27</f>
        <v/>
      </c>
      <c r="F25" s="258">
        <f>Maaned!AY27</f>
        <v>23</v>
      </c>
      <c r="G25" s="257" t="str">
        <f>Maaned!AZ27</f>
        <v>ma</v>
      </c>
      <c r="H25" s="267" t="str">
        <f>Maaned!BA27</f>
        <v>skoledag</v>
      </c>
      <c r="I25" s="350" t="str">
        <f>IF(Maaned!BC27&lt;&gt;"",Maaned!BC27,"")</f>
        <v/>
      </c>
      <c r="J25" s="380">
        <f>Maaned!BB27</f>
        <v>12.714285714285714</v>
      </c>
      <c r="K25" s="258">
        <f>Maaned!BF27</f>
        <v>23</v>
      </c>
      <c r="L25" s="257" t="str">
        <f>Maaned!BG27</f>
        <v>to</v>
      </c>
      <c r="M25" s="267" t="str">
        <f>Maaned!BH27</f>
        <v>skoledag</v>
      </c>
      <c r="N25" s="350" t="str">
        <f>IF(Maaned!BJ27&lt;&gt;"",Maaned!BJ27,"")</f>
        <v/>
      </c>
      <c r="O25" s="380" t="str">
        <f>Maaned!BI27</f>
        <v/>
      </c>
      <c r="P25" s="258">
        <f>Maaned!BM27</f>
        <v>23</v>
      </c>
      <c r="Q25" s="257" t="str">
        <f>Maaned!BN27</f>
        <v>lø</v>
      </c>
      <c r="R25" s="267" t="str">
        <f>Maaned!BO27</f>
        <v>weekend</v>
      </c>
      <c r="S25" s="350" t="str">
        <f>IF(Maaned!BQ27&lt;&gt;"",Maaned!BQ27,"")</f>
        <v/>
      </c>
      <c r="T25" s="380" t="str">
        <f>Maaned!BP27</f>
        <v/>
      </c>
      <c r="U25" s="258">
        <f>Maaned!BT27</f>
        <v>23</v>
      </c>
      <c r="V25" s="257" t="str">
        <f>Maaned!BU27</f>
        <v>ti</v>
      </c>
      <c r="W25" s="267" t="str">
        <f>Maaned!BV27</f>
        <v>skoledag</v>
      </c>
      <c r="X25" s="350" t="str">
        <f>IF(Maaned!BX27&lt;&gt;"",Maaned!BX27,"")</f>
        <v/>
      </c>
      <c r="Y25" s="380" t="str">
        <f>Maaned!BW27</f>
        <v/>
      </c>
      <c r="Z25" s="258">
        <f>Maaned!CA27</f>
        <v>23</v>
      </c>
      <c r="AA25" s="257" t="str">
        <f>Maaned!CB27</f>
        <v>to</v>
      </c>
      <c r="AB25" s="267" t="str">
        <f>Maaned!CC27</f>
        <v>feriedag</v>
      </c>
      <c r="AC25" s="350" t="str">
        <f>IF(Maaned!CE27&lt;&gt;"",Maaned!CE27,"")</f>
        <v>Sommerferie</v>
      </c>
      <c r="AD25" s="387" t="str">
        <f>Maaned!CD27</f>
        <v/>
      </c>
    </row>
    <row r="26" spans="1:30" ht="23" customHeight="1">
      <c r="A26" s="258">
        <f>Maaned!AR28</f>
        <v>24</v>
      </c>
      <c r="B26" s="257" t="str">
        <f>Maaned!AS28</f>
        <v>ma</v>
      </c>
      <c r="C26" s="267" t="str">
        <f>Maaned!AT28</f>
        <v>skoledag</v>
      </c>
      <c r="D26" s="350" t="str">
        <f>IF(Maaned!AV28&lt;&gt;"",Maaned!AV28,"")</f>
        <v/>
      </c>
      <c r="E26" s="380">
        <f>Maaned!AU28</f>
        <v>8.7142857142857135</v>
      </c>
      <c r="F26" s="258">
        <f>Maaned!AY28</f>
        <v>24</v>
      </c>
      <c r="G26" s="257" t="str">
        <f>Maaned!AZ28</f>
        <v>ti</v>
      </c>
      <c r="H26" s="267" t="str">
        <f>Maaned!BA28</f>
        <v>skoledag</v>
      </c>
      <c r="I26" s="350" t="str">
        <f>IF(Maaned!BC28&lt;&gt;"",Maaned!BC28,"")</f>
        <v/>
      </c>
      <c r="J26" s="380" t="str">
        <f>Maaned!BB28</f>
        <v/>
      </c>
      <c r="K26" s="258">
        <f>Maaned!BF28</f>
        <v>24</v>
      </c>
      <c r="L26" s="257" t="str">
        <f>Maaned!BG28</f>
        <v>fr</v>
      </c>
      <c r="M26" s="267" t="str">
        <f>Maaned!BH28</f>
        <v>skoledag</v>
      </c>
      <c r="N26" s="350" t="str">
        <f>IF(Maaned!BJ28&lt;&gt;"",Maaned!BJ28,"")</f>
        <v/>
      </c>
      <c r="O26" s="380" t="str">
        <f>Maaned!BI28</f>
        <v/>
      </c>
      <c r="P26" s="258">
        <f>Maaned!BM28</f>
        <v>24</v>
      </c>
      <c r="Q26" s="257" t="str">
        <f>Maaned!BN28</f>
        <v>sø</v>
      </c>
      <c r="R26" s="267" t="str">
        <f>Maaned!BO28</f>
        <v>weekend</v>
      </c>
      <c r="S26" s="350" t="str">
        <f>IF(Maaned!BQ28&lt;&gt;"",Maaned!BQ28,"")</f>
        <v/>
      </c>
      <c r="T26" s="380" t="str">
        <f>Maaned!BP28</f>
        <v/>
      </c>
      <c r="U26" s="258">
        <f>Maaned!BT28</f>
        <v>24</v>
      </c>
      <c r="V26" s="257" t="str">
        <f>Maaned!BU28</f>
        <v>on</v>
      </c>
      <c r="W26" s="267" t="str">
        <f>Maaned!BV28</f>
        <v>skoledag</v>
      </c>
      <c r="X26" s="350" t="str">
        <f>IF(Maaned!BX28&lt;&gt;"",Maaned!BX28,"")</f>
        <v/>
      </c>
      <c r="Y26" s="380" t="str">
        <f>Maaned!BW28</f>
        <v/>
      </c>
      <c r="Z26" s="258">
        <f>Maaned!CA28</f>
        <v>24</v>
      </c>
      <c r="AA26" s="257" t="str">
        <f>Maaned!CB28</f>
        <v>fr</v>
      </c>
      <c r="AB26" s="267" t="str">
        <f>Maaned!CC28</f>
        <v>feriedag</v>
      </c>
      <c r="AC26" s="350" t="str">
        <f>IF(Maaned!CE28&lt;&gt;"",Maaned!CE28,"")</f>
        <v>Sommerferie</v>
      </c>
      <c r="AD26" s="387" t="str">
        <f>Maaned!CD28</f>
        <v/>
      </c>
    </row>
    <row r="27" spans="1:30" ht="23" customHeight="1">
      <c r="A27" s="258">
        <f>Maaned!AR29</f>
        <v>25</v>
      </c>
      <c r="B27" s="257" t="str">
        <f>Maaned!AS29</f>
        <v>ti</v>
      </c>
      <c r="C27" s="267" t="str">
        <f>Maaned!AT29</f>
        <v>skoledag</v>
      </c>
      <c r="D27" s="350" t="str">
        <f>IF(Maaned!AV29&lt;&gt;"",Maaned!AV29,"")</f>
        <v/>
      </c>
      <c r="E27" s="380" t="str">
        <f>Maaned!AU29</f>
        <v/>
      </c>
      <c r="F27" s="258">
        <f>Maaned!AY29</f>
        <v>25</v>
      </c>
      <c r="G27" s="257" t="str">
        <f>Maaned!AZ29</f>
        <v>on</v>
      </c>
      <c r="H27" s="267" t="str">
        <f>Maaned!BA29</f>
        <v>skoledag</v>
      </c>
      <c r="I27" s="350" t="str">
        <f>IF(Maaned!BC29&lt;&gt;"",Maaned!BC29,"")</f>
        <v/>
      </c>
      <c r="J27" s="380" t="str">
        <f>Maaned!BB29</f>
        <v/>
      </c>
      <c r="K27" s="258">
        <f>Maaned!BF29</f>
        <v>25</v>
      </c>
      <c r="L27" s="257" t="str">
        <f>Maaned!BG29</f>
        <v>lø</v>
      </c>
      <c r="M27" s="267" t="str">
        <f>Maaned!BH29</f>
        <v>weekend</v>
      </c>
      <c r="N27" s="350" t="str">
        <f>IF(Maaned!BJ29&lt;&gt;"",Maaned!BJ29,"")</f>
        <v/>
      </c>
      <c r="O27" s="380" t="str">
        <f>Maaned!BI29</f>
        <v/>
      </c>
      <c r="P27" s="258">
        <f>Maaned!BM29</f>
        <v>25</v>
      </c>
      <c r="Q27" s="257" t="str">
        <f>Maaned!BN29</f>
        <v>ma</v>
      </c>
      <c r="R27" s="267" t="str">
        <f>Maaned!BO29</f>
        <v>skoledag</v>
      </c>
      <c r="S27" s="350" t="str">
        <f>IF(Maaned!BQ29&lt;&gt;"",Maaned!BQ29,"")</f>
        <v/>
      </c>
      <c r="T27" s="380">
        <f>Maaned!BP29</f>
        <v>21.714285714285715</v>
      </c>
      <c r="U27" s="258">
        <f>Maaned!BT29</f>
        <v>25</v>
      </c>
      <c r="V27" s="257" t="str">
        <f>Maaned!BU29</f>
        <v>to</v>
      </c>
      <c r="W27" s="267" t="str">
        <f>Maaned!BV29</f>
        <v>skoledag</v>
      </c>
      <c r="X27" s="350" t="str">
        <f>IF(Maaned!BX29&lt;&gt;"",Maaned!BX29,"")</f>
        <v/>
      </c>
      <c r="Y27" s="380" t="str">
        <f>Maaned!BW29</f>
        <v/>
      </c>
      <c r="Z27" s="258">
        <f>Maaned!CA29</f>
        <v>25</v>
      </c>
      <c r="AA27" s="257" t="str">
        <f>Maaned!CB29</f>
        <v>lø</v>
      </c>
      <c r="AB27" s="267" t="str">
        <f>Maaned!CC29</f>
        <v>weekend</v>
      </c>
      <c r="AC27" s="350" t="str">
        <f>IF(Maaned!CE29&lt;&gt;"",Maaned!CE29,"")</f>
        <v/>
      </c>
      <c r="AD27" s="387" t="str">
        <f>Maaned!CD29</f>
        <v/>
      </c>
    </row>
    <row r="28" spans="1:30" ht="23" customHeight="1">
      <c r="A28" s="258">
        <f>Maaned!AR30</f>
        <v>26</v>
      </c>
      <c r="B28" s="257" t="str">
        <f>Maaned!AS30</f>
        <v>on</v>
      </c>
      <c r="C28" s="267" t="str">
        <f>Maaned!AT30</f>
        <v>skoledag</v>
      </c>
      <c r="D28" s="350" t="str">
        <f>IF(Maaned!AV30&lt;&gt;"",Maaned!AV30,"")</f>
        <v/>
      </c>
      <c r="E28" s="380" t="str">
        <f>Maaned!AU30</f>
        <v/>
      </c>
      <c r="F28" s="258">
        <f>Maaned!AY30</f>
        <v>26</v>
      </c>
      <c r="G28" s="257" t="str">
        <f>Maaned!AZ30</f>
        <v>to</v>
      </c>
      <c r="H28" s="267" t="str">
        <f>Maaned!BA30</f>
        <v>skoledag</v>
      </c>
      <c r="I28" s="350" t="str">
        <f>IF(Maaned!BC30&lt;&gt;"",Maaned!BC30,"")</f>
        <v/>
      </c>
      <c r="J28" s="380" t="str">
        <f>Maaned!BB30</f>
        <v/>
      </c>
      <c r="K28" s="258">
        <f>Maaned!BF30</f>
        <v>26</v>
      </c>
      <c r="L28" s="257" t="str">
        <f>Maaned!BG30</f>
        <v>sø</v>
      </c>
      <c r="M28" s="267" t="str">
        <f>Maaned!BH30</f>
        <v>weekend</v>
      </c>
      <c r="N28" s="350" t="str">
        <f>IF(Maaned!BJ30&lt;&gt;"",Maaned!BJ30,"")</f>
        <v/>
      </c>
      <c r="O28" s="380" t="str">
        <f>Maaned!BI30</f>
        <v/>
      </c>
      <c r="P28" s="258">
        <f>Maaned!BM30</f>
        <v>26</v>
      </c>
      <c r="Q28" s="257" t="str">
        <f>Maaned!BN30</f>
        <v>ti</v>
      </c>
      <c r="R28" s="267" t="str">
        <f>Maaned!BO30</f>
        <v>skoledag</v>
      </c>
      <c r="S28" s="350" t="str">
        <f>IF(Maaned!BQ30&lt;&gt;"",Maaned!BQ30,"")</f>
        <v/>
      </c>
      <c r="T28" s="380" t="str">
        <f>Maaned!BP30</f>
        <v/>
      </c>
      <c r="U28" s="258">
        <f>Maaned!BT30</f>
        <v>26</v>
      </c>
      <c r="V28" s="257" t="str">
        <f>Maaned!BU30</f>
        <v>fr</v>
      </c>
      <c r="W28" s="267" t="str">
        <f>Maaned!BV30</f>
        <v>skoledag</v>
      </c>
      <c r="X28" s="350" t="str">
        <f>IF(Maaned!BX30&lt;&gt;"",Maaned!BX30,"")</f>
        <v/>
      </c>
      <c r="Y28" s="380" t="str">
        <f>Maaned!BW30</f>
        <v/>
      </c>
      <c r="Z28" s="258">
        <f>Maaned!CA30</f>
        <v>26</v>
      </c>
      <c r="AA28" s="257" t="str">
        <f>Maaned!CB30</f>
        <v>sø</v>
      </c>
      <c r="AB28" s="267" t="str">
        <f>Maaned!CC30</f>
        <v>weekend</v>
      </c>
      <c r="AC28" s="350" t="str">
        <f>IF(Maaned!CE30&lt;&gt;"",Maaned!CE30,"")</f>
        <v/>
      </c>
      <c r="AD28" s="387" t="str">
        <f>Maaned!CD30</f>
        <v/>
      </c>
    </row>
    <row r="29" spans="1:30" ht="23" customHeight="1">
      <c r="A29" s="258">
        <f>Maaned!AR31</f>
        <v>27</v>
      </c>
      <c r="B29" s="257" t="str">
        <f>Maaned!AS31</f>
        <v>to</v>
      </c>
      <c r="C29" s="267" t="str">
        <f>Maaned!AT31</f>
        <v>skoledag</v>
      </c>
      <c r="D29" s="350" t="str">
        <f>IF(Maaned!AV31&lt;&gt;"",Maaned!AV31,"")</f>
        <v/>
      </c>
      <c r="E29" s="380" t="str">
        <f>Maaned!AU31</f>
        <v/>
      </c>
      <c r="F29" s="258">
        <f>Maaned!AY31</f>
        <v>27</v>
      </c>
      <c r="G29" s="257" t="str">
        <f>Maaned!AZ31</f>
        <v>fr</v>
      </c>
      <c r="H29" s="267" t="str">
        <f>Maaned!BA31</f>
        <v>skoledag</v>
      </c>
      <c r="I29" s="350" t="str">
        <f>IF(Maaned!BC31&lt;&gt;"",Maaned!BC31,"")</f>
        <v/>
      </c>
      <c r="J29" s="380" t="str">
        <f>Maaned!BB31</f>
        <v/>
      </c>
      <c r="K29" s="258">
        <f>Maaned!BF31</f>
        <v>27</v>
      </c>
      <c r="L29" s="257" t="str">
        <f>Maaned!BG31</f>
        <v>ma</v>
      </c>
      <c r="M29" s="267" t="str">
        <f>Maaned!BH31</f>
        <v>skoledag</v>
      </c>
      <c r="N29" s="350" t="str">
        <f>IF(Maaned!BJ31&lt;&gt;"",Maaned!BJ31,"")</f>
        <v/>
      </c>
      <c r="O29" s="380">
        <f>Maaned!BI31</f>
        <v>17.714285714285715</v>
      </c>
      <c r="P29" s="258">
        <f>Maaned!BM31</f>
        <v>27</v>
      </c>
      <c r="Q29" s="257" t="str">
        <f>Maaned!BN31</f>
        <v>on</v>
      </c>
      <c r="R29" s="267" t="str">
        <f>Maaned!BO31</f>
        <v>skoledag</v>
      </c>
      <c r="S29" s="350" t="str">
        <f>IF(Maaned!BQ31&lt;&gt;"",Maaned!BQ31,"")</f>
        <v/>
      </c>
      <c r="T29" s="380" t="str">
        <f>Maaned!BP31</f>
        <v/>
      </c>
      <c r="U29" s="258">
        <f>Maaned!BT31</f>
        <v>27</v>
      </c>
      <c r="V29" s="257" t="str">
        <f>Maaned!BU31</f>
        <v>lø</v>
      </c>
      <c r="W29" s="267" t="str">
        <f>Maaned!BV31</f>
        <v>Weekend</v>
      </c>
      <c r="X29" s="350" t="str">
        <f>IF(Maaned!BX31&lt;&gt;"",Maaned!BX31,"")</f>
        <v/>
      </c>
      <c r="Y29" s="380" t="str">
        <f>Maaned!BW31</f>
        <v/>
      </c>
      <c r="Z29" s="258">
        <f>Maaned!CA31</f>
        <v>27</v>
      </c>
      <c r="AA29" s="257" t="str">
        <f>Maaned!CB31</f>
        <v>ma</v>
      </c>
      <c r="AB29" s="267" t="str">
        <f>Maaned!CC31</f>
        <v>feriedag</v>
      </c>
      <c r="AC29" s="350" t="str">
        <f>IF(Maaned!CE31&lt;&gt;"",Maaned!CE31,"")</f>
        <v>Sommerferie</v>
      </c>
      <c r="AD29" s="387">
        <f>Maaned!CD31</f>
        <v>30.714285714285715</v>
      </c>
    </row>
    <row r="30" spans="1:30" ht="23" customHeight="1">
      <c r="A30" s="520">
        <f>Maaned!AR32</f>
        <v>28</v>
      </c>
      <c r="B30" s="521" t="str">
        <f>Maaned!AS32</f>
        <v>fr</v>
      </c>
      <c r="C30" s="522" t="str">
        <f>Maaned!AT32</f>
        <v>skoledag</v>
      </c>
      <c r="D30" s="523" t="str">
        <f>IF(Maaned!AV32&lt;&gt;"",Maaned!AV32,"")</f>
        <v/>
      </c>
      <c r="E30" s="387" t="str">
        <f>Maaned!AU32</f>
        <v/>
      </c>
      <c r="F30" s="258">
        <f>Maaned!AY32</f>
        <v>28</v>
      </c>
      <c r="G30" s="257" t="str">
        <f>Maaned!AZ32</f>
        <v>lø</v>
      </c>
      <c r="H30" s="267" t="str">
        <f>Maaned!BA32</f>
        <v>weekend</v>
      </c>
      <c r="I30" s="350" t="str">
        <f>IF(Maaned!BC32&lt;&gt;"",Maaned!BC32,"")</f>
        <v/>
      </c>
      <c r="J30" s="380" t="str">
        <f>Maaned!BB32</f>
        <v/>
      </c>
      <c r="K30" s="258">
        <f>Maaned!BF32</f>
        <v>28</v>
      </c>
      <c r="L30" s="257" t="str">
        <f>Maaned!BG32</f>
        <v>ti</v>
      </c>
      <c r="M30" s="267" t="str">
        <f>Maaned!BH32</f>
        <v>skoledag</v>
      </c>
      <c r="N30" s="350" t="str">
        <f>IF(Maaned!BJ32&lt;&gt;"",Maaned!BJ32,"")</f>
        <v/>
      </c>
      <c r="O30" s="380" t="str">
        <f>Maaned!BI32</f>
        <v/>
      </c>
      <c r="P30" s="258">
        <f>Maaned!BM32</f>
        <v>28</v>
      </c>
      <c r="Q30" s="257" t="str">
        <f>Maaned!BN32</f>
        <v>to</v>
      </c>
      <c r="R30" s="267" t="str">
        <f>Maaned!BO32</f>
        <v>skoledag</v>
      </c>
      <c r="S30" s="350" t="str">
        <f>IF(Maaned!BQ32&lt;&gt;"",Maaned!BQ32,"")</f>
        <v/>
      </c>
      <c r="T30" s="380" t="str">
        <f>Maaned!BP32</f>
        <v/>
      </c>
      <c r="U30" s="258">
        <f>Maaned!BT32</f>
        <v>28</v>
      </c>
      <c r="V30" s="257" t="str">
        <f>Maaned!BU32</f>
        <v>sø</v>
      </c>
      <c r="W30" s="267" t="str">
        <f>Maaned!BV32</f>
        <v>Weekend</v>
      </c>
      <c r="X30" s="350" t="str">
        <f>IF(Maaned!BX32&lt;&gt;"",Maaned!BX32,"")</f>
        <v/>
      </c>
      <c r="Y30" s="380" t="str">
        <f>Maaned!BW32</f>
        <v/>
      </c>
      <c r="Z30" s="258">
        <f>Maaned!CA32</f>
        <v>28</v>
      </c>
      <c r="AA30" s="257" t="str">
        <f>Maaned!CB32</f>
        <v>ti</v>
      </c>
      <c r="AB30" s="267" t="str">
        <f>Maaned!CC32</f>
        <v>feriedag</v>
      </c>
      <c r="AC30" s="350" t="str">
        <f>IF(Maaned!CE32&lt;&gt;"",Maaned!CE32,"")</f>
        <v>Sommerferie</v>
      </c>
      <c r="AD30" s="387" t="str">
        <f>Maaned!CD32</f>
        <v/>
      </c>
    </row>
    <row r="31" spans="1:30" ht="23" customHeight="1">
      <c r="A31" s="524">
        <f>Maaned!AR33</f>
        <v>29</v>
      </c>
      <c r="B31" s="524" t="str">
        <f>Maaned!AS33</f>
        <v>lø</v>
      </c>
      <c r="C31" s="525" t="str">
        <f>Maaned!AT33</f>
        <v>weekend</v>
      </c>
      <c r="D31" s="526" t="str">
        <f>IF(Maaned!AV33&lt;&gt;"",Maaned!AV33,"")</f>
        <v/>
      </c>
      <c r="E31" s="527" t="str">
        <f>Maaned!E33</f>
        <v/>
      </c>
      <c r="F31" s="258">
        <f>Maaned!AY33</f>
        <v>29</v>
      </c>
      <c r="G31" s="257" t="str">
        <f>Maaned!AZ33</f>
        <v>sø</v>
      </c>
      <c r="H31" s="267" t="str">
        <f>Maaned!BA33</f>
        <v>weekend</v>
      </c>
      <c r="I31" s="350" t="str">
        <f>IF(Maaned!BC33&lt;&gt;"",Maaned!BC33,"")</f>
        <v/>
      </c>
      <c r="J31" s="380" t="str">
        <f>Maaned!BB33</f>
        <v/>
      </c>
      <c r="K31" s="258">
        <f>Maaned!BF33</f>
        <v>29</v>
      </c>
      <c r="L31" s="257" t="str">
        <f>Maaned!BG33</f>
        <v>on</v>
      </c>
      <c r="M31" s="267" t="str">
        <f>Maaned!BH33</f>
        <v>skoledag</v>
      </c>
      <c r="N31" s="350" t="str">
        <f>IF(Maaned!BJ33&lt;&gt;"",Maaned!BJ33,"")</f>
        <v/>
      </c>
      <c r="O31" s="380" t="str">
        <f>Maaned!BI33</f>
        <v/>
      </c>
      <c r="P31" s="258">
        <f>Maaned!BM33</f>
        <v>29</v>
      </c>
      <c r="Q31" s="257" t="str">
        <f>Maaned!BN33</f>
        <v>fr</v>
      </c>
      <c r="R31" s="267" t="str">
        <f>Maaned!BO33</f>
        <v>skoledag</v>
      </c>
      <c r="S31" s="350" t="str">
        <f>IF(Maaned!BQ33&lt;&gt;"",Maaned!BQ33,"")</f>
        <v/>
      </c>
      <c r="T31" s="380" t="str">
        <f>Maaned!BP33</f>
        <v/>
      </c>
      <c r="U31" s="258">
        <f>Maaned!BT33</f>
        <v>29</v>
      </c>
      <c r="V31" s="257" t="str">
        <f>Maaned!BU33</f>
        <v>ma</v>
      </c>
      <c r="W31" s="267" t="str">
        <f>Maaned!BV33</f>
        <v>Nul-dag</v>
      </c>
      <c r="X31" s="350" t="str">
        <f>IF(Maaned!BX33&lt;&gt;"",Maaned!BX33,"")</f>
        <v/>
      </c>
      <c r="Y31" s="380">
        <f>Maaned!BW33</f>
        <v>26.714285714285715</v>
      </c>
      <c r="Z31" s="258">
        <f>Maaned!CA33</f>
        <v>29</v>
      </c>
      <c r="AA31" s="257" t="str">
        <f>Maaned!CB33</f>
        <v>on</v>
      </c>
      <c r="AB31" s="267" t="str">
        <f>Maaned!CC33</f>
        <v>feriedag</v>
      </c>
      <c r="AC31" s="350" t="str">
        <f>IF(Maaned!CE33&lt;&gt;"",Maaned!CE33,"")</f>
        <v>Sommerferie</v>
      </c>
      <c r="AD31" s="387" t="str">
        <f>Maaned!CD33</f>
        <v/>
      </c>
    </row>
    <row r="32" spans="1:30" ht="23" customHeight="1">
      <c r="A32" s="160"/>
      <c r="B32" s="160"/>
      <c r="C32" s="161"/>
      <c r="D32" s="161"/>
      <c r="E32" s="162"/>
      <c r="F32" s="258">
        <f>Maaned!AY34</f>
        <v>30</v>
      </c>
      <c r="G32" s="257" t="str">
        <f>Maaned!AZ34</f>
        <v>ma</v>
      </c>
      <c r="H32" s="267" t="str">
        <f>Maaned!BA34</f>
        <v>skoledag</v>
      </c>
      <c r="I32" s="350" t="str">
        <f>IF(Maaned!BC34&lt;&gt;"",Maaned!BC34,"")</f>
        <v/>
      </c>
      <c r="J32" s="380">
        <f>Maaned!BB34</f>
        <v>13.714285714285714</v>
      </c>
      <c r="K32" s="258">
        <f>Maaned!BF34</f>
        <v>30</v>
      </c>
      <c r="L32" s="257" t="str">
        <f>Maaned!BG34</f>
        <v>to</v>
      </c>
      <c r="M32" s="267" t="str">
        <f>Maaned!BH34</f>
        <v>skoledag</v>
      </c>
      <c r="N32" s="350" t="str">
        <f>IF(Maaned!BJ34&lt;&gt;"",Maaned!BJ34,"")</f>
        <v/>
      </c>
      <c r="O32" s="380" t="str">
        <f>Maaned!BI34</f>
        <v/>
      </c>
      <c r="P32" s="258">
        <f>Maaned!BM34</f>
        <v>30</v>
      </c>
      <c r="Q32" s="257" t="str">
        <f>Maaned!BN34</f>
        <v>lø</v>
      </c>
      <c r="R32" s="267" t="str">
        <f>Maaned!BO34</f>
        <v>weekend</v>
      </c>
      <c r="S32" s="350" t="str">
        <f>IF(Maaned!BQ34&lt;&gt;"",Maaned!BQ34,"")</f>
        <v/>
      </c>
      <c r="T32" s="380" t="str">
        <f>Maaned!BP34</f>
        <v/>
      </c>
      <c r="U32" s="258">
        <f>Maaned!BT34</f>
        <v>30</v>
      </c>
      <c r="V32" s="257" t="str">
        <f>Maaned!BU34</f>
        <v>ti</v>
      </c>
      <c r="W32" s="267" t="str">
        <f>Maaned!BV34</f>
        <v>Nul-dag</v>
      </c>
      <c r="X32" s="350" t="str">
        <f>IF(Maaned!BX34&lt;&gt;"",Maaned!BX34,"")</f>
        <v/>
      </c>
      <c r="Y32" s="380" t="str">
        <f>Maaned!BW34</f>
        <v/>
      </c>
      <c r="Z32" s="258">
        <f>Maaned!CA34</f>
        <v>30</v>
      </c>
      <c r="AA32" s="257" t="str">
        <f>Maaned!CB34</f>
        <v>to</v>
      </c>
      <c r="AB32" s="267" t="str">
        <f>Maaned!CC34</f>
        <v>feriedag</v>
      </c>
      <c r="AC32" s="350" t="str">
        <f>IF(Maaned!CE34&lt;&gt;"",Maaned!CE34,"")</f>
        <v>Sommerferie</v>
      </c>
      <c r="AD32" s="387" t="str">
        <f>Maaned!CD34</f>
        <v/>
      </c>
    </row>
    <row r="33" spans="1:30" ht="23" customHeight="1">
      <c r="A33" s="160"/>
      <c r="B33" s="160"/>
      <c r="C33" s="161"/>
      <c r="D33" s="161"/>
      <c r="E33" s="162"/>
      <c r="F33" s="266">
        <f>Maaned!AY35</f>
        <v>31</v>
      </c>
      <c r="G33" s="265" t="str">
        <f>Maaned!AZ35</f>
        <v>ti</v>
      </c>
      <c r="H33" s="354" t="str">
        <f>Maaned!BA35</f>
        <v>skoledag</v>
      </c>
      <c r="I33" s="351" t="str">
        <f>IF(Maaned!BC35&lt;&gt;"",Maaned!BC35,"")</f>
        <v/>
      </c>
      <c r="J33" s="388" t="str">
        <f>Maaned!BB35</f>
        <v/>
      </c>
      <c r="K33" s="146"/>
      <c r="L33" s="147"/>
      <c r="M33" s="148"/>
      <c r="N33" s="148"/>
      <c r="O33" s="150"/>
      <c r="P33" s="266">
        <f>Maaned!BM35</f>
        <v>31</v>
      </c>
      <c r="Q33" s="265" t="str">
        <f>Maaned!BN35</f>
        <v>sø</v>
      </c>
      <c r="R33" s="354" t="str">
        <f>Maaned!BO35</f>
        <v>weekend</v>
      </c>
      <c r="S33" s="351" t="str">
        <f>IF(Maaned!BQ35&lt;&gt;"",Maaned!BQ35,"")</f>
        <v/>
      </c>
      <c r="T33" s="380" t="str">
        <f>Maaned!BP35</f>
        <v/>
      </c>
      <c r="U33" s="146"/>
      <c r="V33" s="147"/>
      <c r="W33" s="148"/>
      <c r="X33" s="148"/>
      <c r="Y33" s="150"/>
      <c r="Z33" s="266">
        <f>Maaned!CA35</f>
        <v>31</v>
      </c>
      <c r="AA33" s="265" t="str">
        <f>Maaned!CB35</f>
        <v>fr</v>
      </c>
      <c r="AB33" s="354" t="str">
        <f>Maaned!CC35</f>
        <v>feriedag</v>
      </c>
      <c r="AC33" s="351" t="str">
        <f>IF(Maaned!CE35&lt;&gt;"",Maaned!CE35,"")</f>
        <v>Sommerferie</v>
      </c>
      <c r="AD33" s="388" t="str">
        <f>Maaned!CD35</f>
        <v/>
      </c>
    </row>
    <row r="34" spans="1:30" ht="23" customHeight="1">
      <c r="A34" s="152"/>
      <c r="B34" s="152"/>
      <c r="C34" s="152"/>
      <c r="D34" s="152"/>
      <c r="E34" s="152"/>
      <c r="F34" s="309"/>
      <c r="G34" s="309"/>
      <c r="H34" s="309"/>
      <c r="I34" s="309"/>
      <c r="J34" s="309"/>
      <c r="K34" s="152"/>
      <c r="L34" s="152"/>
      <c r="M34" s="152"/>
      <c r="N34" s="152"/>
      <c r="O34" s="152"/>
      <c r="P34" s="309"/>
      <c r="Q34" s="309"/>
      <c r="R34" s="309"/>
      <c r="S34" s="309"/>
      <c r="T34" s="309"/>
      <c r="U34" s="152"/>
      <c r="V34" s="152"/>
      <c r="W34" s="152"/>
      <c r="X34" s="152"/>
      <c r="Y34" s="152"/>
      <c r="Z34" s="309"/>
      <c r="AA34" s="309"/>
      <c r="AB34" s="309"/>
      <c r="AC34" s="309"/>
      <c r="AD34" s="309"/>
    </row>
    <row r="35" spans="1:30" ht="23" customHeight="1" thickBot="1">
      <c r="A35" s="152"/>
      <c r="B35" s="152"/>
      <c r="C35" s="152"/>
      <c r="D35" s="152"/>
      <c r="E35" s="152"/>
      <c r="F35" s="309"/>
      <c r="G35" s="309"/>
      <c r="H35" s="309"/>
      <c r="I35" s="309"/>
      <c r="J35" s="309"/>
      <c r="K35" s="152"/>
      <c r="L35" s="152"/>
      <c r="M35" s="152"/>
      <c r="N35" s="152"/>
      <c r="O35" s="152"/>
      <c r="P35" s="309"/>
      <c r="Q35" s="309"/>
      <c r="R35" s="309"/>
      <c r="S35" s="309"/>
      <c r="T35" s="309"/>
      <c r="U35" s="152"/>
      <c r="V35" s="152"/>
      <c r="W35" s="152"/>
      <c r="X35" s="152"/>
      <c r="Y35" s="152"/>
      <c r="Z35" s="309"/>
      <c r="AA35" s="309"/>
      <c r="AB35" s="309"/>
      <c r="AC35" s="309"/>
      <c r="AD35" s="309"/>
    </row>
    <row r="36" spans="1:30" ht="29" customHeight="1" thickBot="1">
      <c r="A36" s="630" t="str">
        <f>"I alt for hele skoleåret "&amp;Vejledning2019!A2&amp;""</f>
        <v>I alt for hele skoleåret 2019/20</v>
      </c>
      <c r="B36" s="631"/>
      <c r="C36" s="631"/>
      <c r="D36" s="631"/>
      <c r="E36" s="631"/>
      <c r="F36" s="631"/>
      <c r="G36" s="631"/>
      <c r="H36" s="631"/>
      <c r="I36" s="632"/>
      <c r="J36" s="632"/>
      <c r="K36" s="632"/>
      <c r="L36" s="632"/>
      <c r="M36" s="632"/>
      <c r="N36" s="631"/>
      <c r="O36" s="631"/>
      <c r="P36" s="631"/>
      <c r="Q36" s="631"/>
      <c r="R36" s="631"/>
      <c r="S36" s="631"/>
      <c r="T36" s="631"/>
      <c r="U36" s="633"/>
      <c r="V36" s="348"/>
      <c r="W36" s="349"/>
      <c r="X36" s="345"/>
      <c r="Y36" s="152"/>
      <c r="Z36" s="309"/>
      <c r="AA36" s="309"/>
      <c r="AB36" s="309"/>
      <c r="AC36" s="309"/>
      <c r="AD36" s="309"/>
    </row>
    <row r="37" spans="1:30" ht="23" customHeight="1">
      <c r="A37" s="634" t="s">
        <v>238</v>
      </c>
      <c r="B37" s="635"/>
      <c r="C37" s="635"/>
      <c r="D37" s="635"/>
      <c r="E37" s="635"/>
      <c r="F37" s="635"/>
      <c r="G37" s="635"/>
      <c r="H37" s="482">
        <f>Maaned!CJ26</f>
        <v>200</v>
      </c>
      <c r="I37" s="479"/>
      <c r="J37" s="479"/>
      <c r="K37" s="479"/>
      <c r="L37" s="479"/>
      <c r="M37" s="479"/>
      <c r="N37" s="619" t="s">
        <v>237</v>
      </c>
      <c r="O37" s="620"/>
      <c r="P37" s="620"/>
      <c r="Q37" s="620"/>
      <c r="R37" s="620"/>
      <c r="S37" s="620"/>
      <c r="T37" s="620"/>
      <c r="U37" s="486">
        <f>Maaned!CJ29</f>
        <v>0</v>
      </c>
      <c r="V37" s="346"/>
      <c r="W37" s="309"/>
      <c r="X37" s="310"/>
      <c r="Y37" s="310"/>
      <c r="Z37" s="309"/>
      <c r="AA37" s="309"/>
      <c r="AB37" s="308"/>
      <c r="AC37" s="143"/>
      <c r="AD37" s="143"/>
    </row>
    <row r="38" spans="1:30" ht="23" customHeight="1">
      <c r="A38" s="621" t="s">
        <v>236</v>
      </c>
      <c r="B38" s="622"/>
      <c r="C38" s="622"/>
      <c r="D38" s="622"/>
      <c r="E38" s="622"/>
      <c r="F38" s="622"/>
      <c r="G38" s="622"/>
      <c r="H38" s="483">
        <f>Maaned!CJ27</f>
        <v>0</v>
      </c>
      <c r="I38" s="480"/>
      <c r="J38" s="480"/>
      <c r="K38" s="480"/>
      <c r="L38" s="480"/>
      <c r="M38" s="480"/>
      <c r="N38" s="529" t="s">
        <v>304</v>
      </c>
      <c r="O38" s="638">
        <f>Maaned!CJ30</f>
        <v>104</v>
      </c>
      <c r="P38" s="638"/>
      <c r="Q38" s="639"/>
      <c r="R38" s="478" t="s">
        <v>305</v>
      </c>
      <c r="S38" s="478"/>
      <c r="T38" s="636">
        <f>Maaned!CJ31</f>
        <v>9</v>
      </c>
      <c r="U38" s="637"/>
      <c r="V38" s="346"/>
      <c r="W38" s="309"/>
      <c r="X38" s="310"/>
      <c r="Y38" s="310"/>
      <c r="Z38" s="309"/>
      <c r="AA38" s="309"/>
      <c r="AB38" s="308"/>
      <c r="AC38" s="143"/>
      <c r="AD38" s="143"/>
    </row>
    <row r="39" spans="1:30" ht="23" customHeight="1">
      <c r="A39" s="623" t="s">
        <v>243</v>
      </c>
      <c r="B39" s="624"/>
      <c r="C39" s="624"/>
      <c r="D39" s="624"/>
      <c r="E39" s="624"/>
      <c r="F39" s="624"/>
      <c r="G39" s="624"/>
      <c r="H39" s="484">
        <f>Maaned!CJ28</f>
        <v>0</v>
      </c>
      <c r="I39" s="480"/>
      <c r="J39" s="480"/>
      <c r="K39" s="480"/>
      <c r="L39" s="480"/>
      <c r="M39" s="480"/>
      <c r="N39" s="530" t="s">
        <v>357</v>
      </c>
      <c r="O39" s="640">
        <f>Maaned!CJ32</f>
        <v>21</v>
      </c>
      <c r="P39" s="640"/>
      <c r="Q39" s="641"/>
      <c r="R39" s="511" t="s">
        <v>358</v>
      </c>
      <c r="S39" s="511"/>
      <c r="T39" s="511"/>
      <c r="U39" s="512">
        <f>Maaned!CJ34</f>
        <v>0</v>
      </c>
      <c r="V39" s="347"/>
      <c r="W39" s="309"/>
      <c r="X39" s="310"/>
      <c r="Y39" s="310"/>
      <c r="Z39" s="309"/>
      <c r="AA39" s="309"/>
      <c r="AB39" s="308"/>
      <c r="AC39" s="143"/>
      <c r="AD39" s="143"/>
    </row>
    <row r="40" spans="1:30" ht="23" customHeight="1" thickBot="1">
      <c r="A40" s="474" t="s">
        <v>331</v>
      </c>
      <c r="B40" s="475"/>
      <c r="C40" s="475"/>
      <c r="D40" s="475"/>
      <c r="E40" s="475"/>
      <c r="F40" s="475"/>
      <c r="G40" s="475"/>
      <c r="H40" s="485">
        <f>SUM(H37:H39)</f>
        <v>200</v>
      </c>
      <c r="I40" s="481"/>
      <c r="J40" s="481"/>
      <c r="K40" s="481"/>
      <c r="L40" s="481"/>
      <c r="M40" s="481"/>
      <c r="N40" s="615" t="s">
        <v>367</v>
      </c>
      <c r="O40" s="616"/>
      <c r="P40" s="616"/>
      <c r="Q40" s="616"/>
      <c r="R40" s="616"/>
      <c r="S40" s="616"/>
      <c r="T40" s="616"/>
      <c r="U40" s="477">
        <f>Maaned!CJ33</f>
        <v>32</v>
      </c>
      <c r="V40" s="346"/>
      <c r="W40" s="309"/>
      <c r="X40" s="310"/>
      <c r="Y40" s="310"/>
      <c r="Z40" s="309"/>
      <c r="AA40" s="309"/>
      <c r="AB40" s="308"/>
      <c r="AC40" s="143"/>
      <c r="AD40" s="143"/>
    </row>
  </sheetData>
  <sheetProtection sheet="1" objects="1" scenarios="1" formatCells="0" formatColumns="0" formatRows="0" insertColumns="0"/>
  <mergeCells count="9">
    <mergeCell ref="A36:U36"/>
    <mergeCell ref="N40:T40"/>
    <mergeCell ref="A37:G37"/>
    <mergeCell ref="N37:T37"/>
    <mergeCell ref="A38:G38"/>
    <mergeCell ref="A39:G39"/>
    <mergeCell ref="T38:U38"/>
    <mergeCell ref="O38:Q38"/>
    <mergeCell ref="O39:Q39"/>
  </mergeCells>
  <phoneticPr fontId="5" type="noConversion"/>
  <dataValidations count="1">
    <dataValidation type="list" allowBlank="1" showInputMessage="1" sqref="C31" xr:uid="{00000000-0002-0000-0400-000000000000}">
      <formula1>$A$31:$A$42</formula1>
    </dataValidation>
  </dataValidations>
  <printOptions horizontalCentered="1" verticalCentered="1"/>
  <pageMargins left="0.35433070866141736" right="0.35433070866141736" top="0.39370078740157483" bottom="0.39370078740157483" header="0.19685039370078741" footer="0.11811023622047245"/>
  <pageSetup paperSize="9" scale="37" orientation="portrait" horizontalDpi="4294967292" verticalDpi="4294967292"/>
  <ignoredErrors>
    <ignoredError sqref="C3:D3 C15:D15 D14 C12:D12 C7:D7 F7:I7 C8:D11 F10:I10 F14:I14 C17:D17 C16:D16 F16:I16 C22:D22 C21:D21 F21:I21 C24:D24 C23:D23 F23:I23 C29:D29 C28:D28 F28:I28 C31:I31 C30:D30 F30:I30 C6:D6 K6:N6 C13:D13 K13:N13 K7:N7 K14:N14 C20:D20 K20:N20 K21:N21 C27:D27 K27:N27 K28:N28 C33:I33 K33:S33 C5:D5 C4:D4 P4:S4 F11:I11 P11:S11 C19:D19 C18:D18 P18:R18 C26:D26 C25:D25 P25:S25 C32:I32 P32:S32 F8:I8 U8:X8 F9:I9 U9:X9 U15:X15 U16:X16 U22:X22 U23:X23 U29:X29 U30:X30 Z6:AC6 U33:AC33 Z13:AC13 Z20:AC20 Z27:AC27 F6:I6 F15:I15 F12:I12 F17:I17 F22:I22 F24:I24 F29:I29 F13:I13 F20:I20 F27:I27 F19:I19 F18:I18 F26:I26 F25:I25 K5:N5 K3:N3 K10:N10 K16:N16 K23:N23 K31:N31 K30:N30 K4:N4 K11:N11 K32:N32 K8:N8 K9:N9 K15:N15 K12:N12 K17:N17 K22:N22 K24:N24 K29:N29 K19:N19 K18:N18 K26:N26 K25:N25 P3:S3 P6:S6 P13:S13 P7:S7 P14:S14 P20:S20 P21:S21 P27:S27 P28:S28 P5:S5 P10:S10 P16:S16 P23:S23 P31:S31 P30:S30 P8:S8 P9:S9 P15:S15 P12:S12 P17:S17 P22:S22 P24:S24 P29:S29 P19:S19 P26:S26 U3:X3 U4:X4 U11:X11 U18:X18 U25:X25 U32:X32 U6:X6 U13:X13 U7:X7 U14:X14 U20:X20 U21:X21 U27:X27 U28:X28 U5:X5 U10:X10 U31:X31 U12:X12 U17:X17 U24:X24 U19:X19 U26:X26 Z3:AC3 Z8:AC8 Z9:AC9 Z15:AC15 Z16:AC16 Z22:AC22 Z23:AC23 Z29:AC29 Z30:AC30 Z4:AC4 Z11:AC11 Z18:AC18 Z25:AC25 Z32:AC32 Z7:AC7 Z14:AC14 Z21:AC21 Z28:AC28 Z5:AC5 Z10:AC10 Z31:AC31 Z12:AC12 Z17:AC17 Z24:AC24 Z19:AC19 Z26:AC26 F3:I3 F5:I5 F4:I4" unlockedFormula="1"/>
  </ignoredErrors>
  <drawing r:id="rId1"/>
  <extLst>
    <ext xmlns:x14="http://schemas.microsoft.com/office/spreadsheetml/2009/9/main" uri="{78C0D931-6437-407d-A8EE-F0AAD7539E65}">
      <x14:conditionalFormattings>
        <x14:conditionalFormatting xmlns:xm="http://schemas.microsoft.com/office/excel/2006/main">
          <x14:cfRule type="expression" priority="59" id="{4869A631-E5B2-AC4A-9F64-07F866BAB5B5}">
            <xm:f>OR(Maaned!$AT5="pæd.dag")</xm:f>
            <x14:dxf>
              <font>
                <color theme="1"/>
              </font>
              <fill>
                <patternFill>
                  <bgColor theme="7" tint="0.39994506668294322"/>
                </patternFill>
              </fill>
            </x14:dxf>
          </x14:cfRule>
          <x14:cfRule type="expression" priority="63" id="{16BF4041-5844-EF42-A47B-6A70837B4FEC}">
            <xm:f>OR(Maaned!$AT5="lejrskole")</xm:f>
            <x14:dxf>
              <font>
                <color theme="1"/>
              </font>
              <fill>
                <patternFill>
                  <bgColor theme="8" tint="0.59996337778862885"/>
                </patternFill>
              </fill>
            </x14:dxf>
          </x14:cfRule>
          <x14:cfRule type="expression" priority="64" id="{D5F29B49-D605-7245-83DF-DFB7B5E07041}">
            <xm:f>OR(Maaned!$AT5="emnedag")</xm:f>
            <x14:dxf>
              <font>
                <color theme="1"/>
              </font>
              <fill>
                <patternFill>
                  <bgColor theme="5" tint="0.59996337778862885"/>
                </patternFill>
              </fill>
            </x14:dxf>
          </x14:cfRule>
          <x14:cfRule type="expression" priority="65" id="{57E068A6-D249-1E4A-84B8-176519CE97D6}">
            <xm:f>OR(Maaned!$AT5="fagdag")</xm:f>
            <x14:dxf>
              <font>
                <color theme="1"/>
              </font>
              <fill>
                <patternFill>
                  <bgColor theme="9" tint="0.59996337778862885"/>
                </patternFill>
              </fill>
            </x14:dxf>
          </x14:cfRule>
          <x14:cfRule type="expression" priority="66" id="{F6CC4708-7E92-A745-9939-7594EE6EADA0}">
            <xm:f>OR(Maaned!$AT5="feriedag")</xm:f>
            <x14:dxf>
              <font>
                <color theme="1"/>
              </font>
              <fill>
                <patternFill>
                  <bgColor theme="6" tint="0.39994506668294322"/>
                </patternFill>
              </fill>
            </x14:dxf>
          </x14:cfRule>
          <x14:cfRule type="expression" priority="67" id="{10B48BC6-8EAF-2942-BB6D-13EE2B42F7DD}">
            <xm:f>OR(Maaned!$AT5="weekend")</xm:f>
            <x14:dxf>
              <font>
                <color theme="1"/>
              </font>
              <fill>
                <patternFill>
                  <bgColor theme="0" tint="-0.14996795556505021"/>
                </patternFill>
              </fill>
            </x14:dxf>
          </x14:cfRule>
          <xm:sqref>A3:E31</xm:sqref>
        </x14:conditionalFormatting>
        <x14:conditionalFormatting xmlns:xm="http://schemas.microsoft.com/office/excel/2006/main">
          <x14:cfRule type="expression" priority="68" stopIfTrue="1" id="{97279CEF-ECAE-2646-970C-2A7450844C7C}">
            <xm:f>OR(Maaned!$AT5="skoledag")</xm:f>
            <x14:dxf>
              <font>
                <color theme="1"/>
              </font>
              <fill>
                <patternFill patternType="none">
                  <bgColor auto="1"/>
                </patternFill>
              </fill>
            </x14:dxf>
          </x14:cfRule>
          <xm:sqref>A3:E31</xm:sqref>
        </x14:conditionalFormatting>
        <x14:conditionalFormatting xmlns:xm="http://schemas.microsoft.com/office/excel/2006/main">
          <x14:cfRule type="expression" priority="62" id="{0CC0AE7B-459A-DE49-8983-75A273A5D06F}">
            <xm:f>OR(Maaned!$AT5="ekskursion")</xm:f>
            <x14:dxf>
              <font>
                <color theme="1"/>
              </font>
              <fill>
                <patternFill>
                  <bgColor rgb="FFFFFF00"/>
                </patternFill>
              </fill>
            </x14:dxf>
          </x14:cfRule>
          <xm:sqref>A3:E31</xm:sqref>
        </x14:conditionalFormatting>
        <x14:conditionalFormatting xmlns:xm="http://schemas.microsoft.com/office/excel/2006/main">
          <x14:cfRule type="expression" priority="60" id="{39C4D426-F21A-FE41-AD48-523EDD85B599}">
            <xm:f>OR(Maaned!$AT5="nul-dag")</xm:f>
            <x14:dxf>
              <font>
                <color theme="1"/>
              </font>
              <fill>
                <patternFill>
                  <bgColor theme="3" tint="0.59996337778862885"/>
                </patternFill>
              </fill>
            </x14:dxf>
          </x14:cfRule>
          <x14:cfRule type="expression" priority="61" id="{06C03DDE-3533-E649-9DE8-8AD68AEE153F}">
            <xm:f>OR(Maaned!$AT5="SH-dag")</xm:f>
            <x14:dxf>
              <font>
                <color theme="1"/>
              </font>
              <fill>
                <patternFill>
                  <bgColor rgb="FFFF2F82"/>
                </patternFill>
              </fill>
            </x14:dxf>
          </x14:cfRule>
          <xm:sqref>A3:E31</xm:sqref>
        </x14:conditionalFormatting>
        <x14:conditionalFormatting xmlns:xm="http://schemas.microsoft.com/office/excel/2006/main">
          <x14:cfRule type="expression" priority="7" id="{3AB6D212-85A0-F04D-920B-A92267DB488B}">
            <xm:f>OR(Maaned!$BA5="Ikke relevant")</xm:f>
            <x14:dxf>
              <font>
                <color theme="0"/>
              </font>
              <fill>
                <patternFill>
                  <bgColor theme="1"/>
                </patternFill>
              </fill>
            </x14:dxf>
          </x14:cfRule>
          <x14:cfRule type="expression" priority="49" id="{6D6BFA12-E389-EF41-92A5-388BBB962CF0}">
            <xm:f>OR(Maaned!$BA5="pæd.dag")</xm:f>
            <x14:dxf>
              <font>
                <color theme="1"/>
              </font>
              <fill>
                <patternFill>
                  <bgColor theme="7" tint="0.39994506668294322"/>
                </patternFill>
              </fill>
            </x14:dxf>
          </x14:cfRule>
          <x14:cfRule type="expression" priority="53" id="{2B18A6A9-445C-114D-B7BF-725EB47AD762}">
            <xm:f>OR(Maaned!$BA5="lejrskole")</xm:f>
            <x14:dxf>
              <font>
                <color theme="1"/>
              </font>
              <fill>
                <patternFill>
                  <bgColor theme="8" tint="0.59996337778862885"/>
                </patternFill>
              </fill>
            </x14:dxf>
          </x14:cfRule>
          <x14:cfRule type="expression" priority="54" id="{8E5C35AA-8A39-4A4A-9284-8B2E3E35C756}">
            <xm:f>OR(Maaned!$BA5="emnedag")</xm:f>
            <x14:dxf>
              <font>
                <color theme="1"/>
              </font>
              <fill>
                <patternFill>
                  <bgColor theme="5" tint="0.59996337778862885"/>
                </patternFill>
              </fill>
            </x14:dxf>
          </x14:cfRule>
          <x14:cfRule type="expression" priority="55" id="{373C7241-B62D-9B49-AF38-D031587F45C8}">
            <xm:f>OR(Maaned!$BA5="fagdag")</xm:f>
            <x14:dxf>
              <font>
                <color theme="1"/>
              </font>
              <fill>
                <patternFill>
                  <bgColor theme="9" tint="0.59996337778862885"/>
                </patternFill>
              </fill>
            </x14:dxf>
          </x14:cfRule>
          <x14:cfRule type="expression" priority="56" id="{0D652B04-5C4F-1145-9D7E-C15326BC13C5}">
            <xm:f>OR(Maaned!$BA5="feriedag")</xm:f>
            <x14:dxf>
              <font>
                <color theme="1"/>
              </font>
              <fill>
                <patternFill>
                  <bgColor theme="6" tint="0.39994506668294322"/>
                </patternFill>
              </fill>
            </x14:dxf>
          </x14:cfRule>
          <x14:cfRule type="expression" priority="57" id="{2F51A462-F28C-7B4A-8F6B-B8F18F2E47B6}">
            <xm:f>OR(Maaned!$BA5="weekend")</xm:f>
            <x14:dxf>
              <font>
                <color theme="1"/>
              </font>
              <fill>
                <patternFill>
                  <bgColor theme="0" tint="-0.14996795556505021"/>
                </patternFill>
              </fill>
            </x14:dxf>
          </x14:cfRule>
          <xm:sqref>F3:J33</xm:sqref>
        </x14:conditionalFormatting>
        <x14:conditionalFormatting xmlns:xm="http://schemas.microsoft.com/office/excel/2006/main">
          <x14:cfRule type="expression" priority="58" stopIfTrue="1" id="{A19BC286-75C7-384E-9180-53B85FFC3066}">
            <xm:f>OR(Maaned!$BA5="skoledag")</xm:f>
            <x14:dxf>
              <font>
                <color theme="1"/>
              </font>
              <fill>
                <patternFill patternType="none">
                  <bgColor auto="1"/>
                </patternFill>
              </fill>
            </x14:dxf>
          </x14:cfRule>
          <xm:sqref>F3:J33</xm:sqref>
        </x14:conditionalFormatting>
        <x14:conditionalFormatting xmlns:xm="http://schemas.microsoft.com/office/excel/2006/main">
          <x14:cfRule type="expression" priority="52" id="{0F5CAAAC-B94A-0946-BE6A-D17B3DED7811}">
            <xm:f>OR(Maaned!$BA5="ekskursion")</xm:f>
            <x14:dxf>
              <font>
                <color theme="1"/>
              </font>
              <fill>
                <patternFill>
                  <bgColor rgb="FFFFFF00"/>
                </patternFill>
              </fill>
            </x14:dxf>
          </x14:cfRule>
          <xm:sqref>F3:J33</xm:sqref>
        </x14:conditionalFormatting>
        <x14:conditionalFormatting xmlns:xm="http://schemas.microsoft.com/office/excel/2006/main">
          <x14:cfRule type="expression" priority="50" id="{537C09DA-DA59-4148-AEB0-9861A919B227}">
            <xm:f>OR(Maaned!$BA5="nul-dag")</xm:f>
            <x14:dxf>
              <font>
                <color theme="1"/>
              </font>
              <fill>
                <patternFill>
                  <bgColor theme="3" tint="0.59996337778862885"/>
                </patternFill>
              </fill>
            </x14:dxf>
          </x14:cfRule>
          <x14:cfRule type="expression" priority="51" id="{58971DDF-F166-E042-B167-6C2F1BBE6AD0}">
            <xm:f>OR(Maaned!$BA5="SH-dag")</xm:f>
            <x14:dxf>
              <font>
                <color theme="1"/>
              </font>
              <fill>
                <patternFill>
                  <bgColor rgb="FFFF2F82"/>
                </patternFill>
              </fill>
            </x14:dxf>
          </x14:cfRule>
          <xm:sqref>F3:J33</xm:sqref>
        </x14:conditionalFormatting>
        <x14:conditionalFormatting xmlns:xm="http://schemas.microsoft.com/office/excel/2006/main">
          <x14:cfRule type="expression" priority="6" id="{6306EA6E-7EFD-BB4E-8E6A-C4B3394E39EE}">
            <xm:f>OR(Maaned!$BH5="ikke relevant")</xm:f>
            <x14:dxf>
              <font>
                <color theme="0"/>
              </font>
              <fill>
                <patternFill>
                  <bgColor theme="1"/>
                </patternFill>
              </fill>
            </x14:dxf>
          </x14:cfRule>
          <x14:cfRule type="expression" priority="39" id="{DC92B041-9CB0-7C47-B533-E9085F59E8A9}">
            <xm:f>OR(Maaned!$BH5="pæd.dag")</xm:f>
            <x14:dxf>
              <font>
                <color theme="1"/>
              </font>
              <fill>
                <patternFill>
                  <bgColor theme="7" tint="0.39994506668294322"/>
                </patternFill>
              </fill>
            </x14:dxf>
          </x14:cfRule>
          <x14:cfRule type="expression" priority="43" id="{AEDC18A4-7A62-8344-BB27-BC03F4283E41}">
            <xm:f>OR(Maaned!$BH5="lejrskole")</xm:f>
            <x14:dxf>
              <font>
                <color theme="1"/>
              </font>
              <fill>
                <patternFill>
                  <bgColor theme="8" tint="0.59996337778862885"/>
                </patternFill>
              </fill>
            </x14:dxf>
          </x14:cfRule>
          <x14:cfRule type="expression" priority="44" id="{8D108F10-178F-994B-B53E-B126B41262A3}">
            <xm:f>OR(Maaned!$BH5="emnedag")</xm:f>
            <x14:dxf>
              <font>
                <color theme="1"/>
              </font>
              <fill>
                <patternFill>
                  <bgColor theme="5" tint="0.59996337778862885"/>
                </patternFill>
              </fill>
            </x14:dxf>
          </x14:cfRule>
          <x14:cfRule type="expression" priority="45" id="{D6B95BC6-48E7-BE4E-953A-B0B01E962921}">
            <xm:f>OR(Maaned!$BH5="fagdag")</xm:f>
            <x14:dxf>
              <font>
                <color theme="1"/>
              </font>
              <fill>
                <patternFill>
                  <bgColor theme="9" tint="0.59996337778862885"/>
                </patternFill>
              </fill>
            </x14:dxf>
          </x14:cfRule>
          <x14:cfRule type="expression" priority="46" id="{65DBF272-472D-7A49-B91E-CDD7C79D2FE8}">
            <xm:f>OR(Maaned!$BH5="feriedag")</xm:f>
            <x14:dxf>
              <font>
                <color theme="1"/>
              </font>
              <fill>
                <patternFill>
                  <bgColor theme="6" tint="0.39994506668294322"/>
                </patternFill>
              </fill>
            </x14:dxf>
          </x14:cfRule>
          <x14:cfRule type="expression" priority="47" id="{A75B3236-996A-9B43-B894-25887F31CA82}">
            <xm:f>OR(Maaned!$BH5="weekend")</xm:f>
            <x14:dxf>
              <font>
                <color theme="1"/>
              </font>
              <fill>
                <patternFill>
                  <bgColor theme="0" tint="-0.14996795556505021"/>
                </patternFill>
              </fill>
            </x14:dxf>
          </x14:cfRule>
          <xm:sqref>K3:O32</xm:sqref>
        </x14:conditionalFormatting>
        <x14:conditionalFormatting xmlns:xm="http://schemas.microsoft.com/office/excel/2006/main">
          <x14:cfRule type="expression" priority="48" stopIfTrue="1" id="{75133B94-247C-034A-8A6D-3FA79206DDF4}">
            <xm:f>OR(Maaned!$BH5="skoledag")</xm:f>
            <x14:dxf>
              <font>
                <color theme="1"/>
              </font>
              <fill>
                <patternFill patternType="none">
                  <bgColor auto="1"/>
                </patternFill>
              </fill>
            </x14:dxf>
          </x14:cfRule>
          <xm:sqref>K3:O32</xm:sqref>
        </x14:conditionalFormatting>
        <x14:conditionalFormatting xmlns:xm="http://schemas.microsoft.com/office/excel/2006/main">
          <x14:cfRule type="expression" priority="42" id="{86C9FF40-FEB8-0C4D-973A-8E7738579157}">
            <xm:f>OR(Maaned!$BH5="ekskursion")</xm:f>
            <x14:dxf>
              <font>
                <color theme="1"/>
              </font>
              <fill>
                <patternFill>
                  <bgColor rgb="FFFFFF00"/>
                </patternFill>
              </fill>
            </x14:dxf>
          </x14:cfRule>
          <xm:sqref>K3:O32</xm:sqref>
        </x14:conditionalFormatting>
        <x14:conditionalFormatting xmlns:xm="http://schemas.microsoft.com/office/excel/2006/main">
          <x14:cfRule type="expression" priority="40" id="{7CE152F0-A425-1248-8322-25979A2FFD16}">
            <xm:f>OR(Maaned!$BH5="nul-dag")</xm:f>
            <x14:dxf>
              <font>
                <color theme="1"/>
              </font>
              <fill>
                <patternFill>
                  <bgColor theme="3" tint="0.59996337778862885"/>
                </patternFill>
              </fill>
            </x14:dxf>
          </x14:cfRule>
          <x14:cfRule type="expression" priority="41" id="{D075334A-CE3A-494E-9982-667528C25034}">
            <xm:f>OR(Maaned!$BH5="SH-dag")</xm:f>
            <x14:dxf>
              <font>
                <color theme="1"/>
              </font>
              <fill>
                <patternFill>
                  <bgColor rgb="FFFF2F82"/>
                </patternFill>
              </fill>
            </x14:dxf>
          </x14:cfRule>
          <xm:sqref>K3:O32</xm:sqref>
        </x14:conditionalFormatting>
        <x14:conditionalFormatting xmlns:xm="http://schemas.microsoft.com/office/excel/2006/main">
          <x14:cfRule type="expression" priority="5" id="{8931C539-23F9-3D4C-BF47-13E25A58A4D9}">
            <xm:f>OR(Maaned!$BO5="Ikke relevant")</xm:f>
            <x14:dxf>
              <font>
                <color theme="0"/>
              </font>
              <fill>
                <patternFill>
                  <bgColor theme="1"/>
                </patternFill>
              </fill>
            </x14:dxf>
          </x14:cfRule>
          <x14:cfRule type="expression" priority="29" id="{50CD2F4D-996F-2E48-9022-BAB76BF43BAB}">
            <xm:f>OR(Maaned!$BO5="pæd.dag")</xm:f>
            <x14:dxf>
              <font>
                <color theme="1"/>
              </font>
              <fill>
                <patternFill>
                  <bgColor theme="7" tint="0.39994506668294322"/>
                </patternFill>
              </fill>
            </x14:dxf>
          </x14:cfRule>
          <x14:cfRule type="expression" priority="33" id="{D4188B95-6B50-0B41-B1B1-3525B3093F6D}">
            <xm:f>OR(Maaned!$BO5="lejrskole")</xm:f>
            <x14:dxf>
              <font>
                <color theme="1"/>
              </font>
              <fill>
                <patternFill>
                  <bgColor theme="8" tint="0.59996337778862885"/>
                </patternFill>
              </fill>
            </x14:dxf>
          </x14:cfRule>
          <x14:cfRule type="expression" priority="34" id="{D07F190B-00C6-BE49-A3BF-2A5442CAF3E6}">
            <xm:f>OR(Maaned!$BO5="emnedag")</xm:f>
            <x14:dxf>
              <font>
                <color theme="1"/>
              </font>
              <fill>
                <patternFill>
                  <bgColor theme="5" tint="0.59996337778862885"/>
                </patternFill>
              </fill>
            </x14:dxf>
          </x14:cfRule>
          <x14:cfRule type="expression" priority="35" id="{0A28D22A-A4B3-3745-87F1-178CFAAB8A9E}">
            <xm:f>OR(Maaned!$BO5="fagdag")</xm:f>
            <x14:dxf>
              <font>
                <color theme="1"/>
              </font>
              <fill>
                <patternFill>
                  <bgColor theme="9" tint="0.59996337778862885"/>
                </patternFill>
              </fill>
            </x14:dxf>
          </x14:cfRule>
          <x14:cfRule type="expression" priority="36" id="{51495512-FECE-E14B-B72B-4B8AD254C6F0}">
            <xm:f>OR(Maaned!$BO5="feriedag")</xm:f>
            <x14:dxf>
              <font>
                <color theme="1"/>
              </font>
              <fill>
                <patternFill>
                  <bgColor theme="6" tint="0.39994506668294322"/>
                </patternFill>
              </fill>
            </x14:dxf>
          </x14:cfRule>
          <x14:cfRule type="expression" priority="37" id="{B2568CEC-E71A-5046-BDBB-3FF7DE9CC555}">
            <xm:f>OR(Maaned!$BO5="weekend")</xm:f>
            <x14:dxf>
              <font>
                <color theme="1"/>
              </font>
              <fill>
                <patternFill>
                  <bgColor theme="0" tint="-0.14996795556505021"/>
                </patternFill>
              </fill>
            </x14:dxf>
          </x14:cfRule>
          <xm:sqref>P3:T33</xm:sqref>
        </x14:conditionalFormatting>
        <x14:conditionalFormatting xmlns:xm="http://schemas.microsoft.com/office/excel/2006/main">
          <x14:cfRule type="expression" priority="38" stopIfTrue="1" id="{EC84CFD7-C053-2144-ACE4-DC211962BDBB}">
            <xm:f>OR(Maaned!$BO5="skoledag")</xm:f>
            <x14:dxf>
              <font>
                <color theme="1"/>
              </font>
              <fill>
                <patternFill patternType="none">
                  <bgColor auto="1"/>
                </patternFill>
              </fill>
            </x14:dxf>
          </x14:cfRule>
          <xm:sqref>P3:T33</xm:sqref>
        </x14:conditionalFormatting>
        <x14:conditionalFormatting xmlns:xm="http://schemas.microsoft.com/office/excel/2006/main">
          <x14:cfRule type="expression" priority="32" id="{B6E9AB86-49BF-A44A-92F6-92D75FC06D26}">
            <xm:f>OR(Maaned!$BO5="ekskursion")</xm:f>
            <x14:dxf>
              <font>
                <color theme="1"/>
              </font>
              <fill>
                <patternFill>
                  <bgColor rgb="FFFFFF00"/>
                </patternFill>
              </fill>
            </x14:dxf>
          </x14:cfRule>
          <xm:sqref>P3:T33</xm:sqref>
        </x14:conditionalFormatting>
        <x14:conditionalFormatting xmlns:xm="http://schemas.microsoft.com/office/excel/2006/main">
          <x14:cfRule type="expression" priority="30" id="{474248A2-6E04-9542-963A-C43CDF25A209}">
            <xm:f>OR(Maaned!$BO5="nul-dag")</xm:f>
            <x14:dxf>
              <font>
                <color theme="1"/>
              </font>
              <fill>
                <patternFill>
                  <bgColor theme="3" tint="0.59996337778862885"/>
                </patternFill>
              </fill>
            </x14:dxf>
          </x14:cfRule>
          <x14:cfRule type="expression" priority="31" id="{7AE2C63B-BDB1-684F-958D-34FE6BDDFCE3}">
            <xm:f>OR(Maaned!$BO5="SH-dag")</xm:f>
            <x14:dxf>
              <font>
                <color theme="1"/>
              </font>
              <fill>
                <patternFill>
                  <bgColor rgb="FFFF2F82"/>
                </patternFill>
              </fill>
            </x14:dxf>
          </x14:cfRule>
          <xm:sqref>P3:T33</xm:sqref>
        </x14:conditionalFormatting>
        <x14:conditionalFormatting xmlns:xm="http://schemas.microsoft.com/office/excel/2006/main">
          <x14:cfRule type="expression" priority="2" id="{F0ABB181-A066-8D49-86E7-9AEF13BDC583}">
            <xm:f>OR(Maaned!$BV5="Ikke relevant")</xm:f>
            <x14:dxf>
              <font>
                <color theme="0"/>
              </font>
              <fill>
                <patternFill>
                  <bgColor theme="1"/>
                </patternFill>
              </fill>
            </x14:dxf>
          </x14:cfRule>
          <x14:cfRule type="expression" priority="19" id="{D966B48E-945A-A64F-9C79-43029C85E30F}">
            <xm:f>OR(Maaned!$BV5="pæd.dag")</xm:f>
            <x14:dxf>
              <font>
                <color theme="1"/>
              </font>
              <fill>
                <patternFill>
                  <bgColor theme="7" tint="0.39994506668294322"/>
                </patternFill>
              </fill>
            </x14:dxf>
          </x14:cfRule>
          <x14:cfRule type="expression" priority="23" id="{1424242C-FBB8-D24D-BDB5-1A4762F47231}">
            <xm:f>OR(Maaned!$BV5="lejrskole")</xm:f>
            <x14:dxf>
              <font>
                <color theme="1"/>
              </font>
              <fill>
                <patternFill>
                  <bgColor theme="8" tint="0.59996337778862885"/>
                </patternFill>
              </fill>
            </x14:dxf>
          </x14:cfRule>
          <x14:cfRule type="expression" priority="24" id="{9AACDA6B-04BD-9740-94B5-3C14DC59DD13}">
            <xm:f>OR(Maaned!$BV5="emnedag")</xm:f>
            <x14:dxf>
              <font>
                <color theme="1"/>
              </font>
              <fill>
                <patternFill>
                  <bgColor theme="5" tint="0.59996337778862885"/>
                </patternFill>
              </fill>
            </x14:dxf>
          </x14:cfRule>
          <x14:cfRule type="expression" priority="25" id="{C3A6622B-2656-1148-8021-15583886E755}">
            <xm:f>OR(Maaned!$BV5="fagdag")</xm:f>
            <x14:dxf>
              <font>
                <color theme="1"/>
              </font>
              <fill>
                <patternFill>
                  <bgColor theme="9" tint="0.59996337778862885"/>
                </patternFill>
              </fill>
            </x14:dxf>
          </x14:cfRule>
          <x14:cfRule type="expression" priority="26" id="{16B5986B-0CB3-EF48-9F62-D21F4540C027}">
            <xm:f>OR(Maaned!$BV5="feriedag")</xm:f>
            <x14:dxf>
              <font>
                <color theme="1"/>
              </font>
              <fill>
                <patternFill>
                  <bgColor theme="6" tint="0.39994506668294322"/>
                </patternFill>
              </fill>
            </x14:dxf>
          </x14:cfRule>
          <x14:cfRule type="expression" priority="27" id="{4C3AAFF6-429E-B148-ABA3-4235BAD6AF07}">
            <xm:f>OR(Maaned!$BV5="weekend")</xm:f>
            <x14:dxf>
              <font>
                <color theme="1"/>
              </font>
              <fill>
                <patternFill>
                  <bgColor theme="0" tint="-0.14996795556505021"/>
                </patternFill>
              </fill>
            </x14:dxf>
          </x14:cfRule>
          <xm:sqref>U3:Y32</xm:sqref>
        </x14:conditionalFormatting>
        <x14:conditionalFormatting xmlns:xm="http://schemas.microsoft.com/office/excel/2006/main">
          <x14:cfRule type="expression" priority="28" stopIfTrue="1" id="{A8C3538A-4F35-6C46-8AC0-A42EC24299DE}">
            <xm:f>OR(Maaned!$BV5="skoledag")</xm:f>
            <x14:dxf>
              <font>
                <color theme="1"/>
              </font>
              <fill>
                <patternFill patternType="none">
                  <bgColor auto="1"/>
                </patternFill>
              </fill>
            </x14:dxf>
          </x14:cfRule>
          <xm:sqref>U3:Y32</xm:sqref>
        </x14:conditionalFormatting>
        <x14:conditionalFormatting xmlns:xm="http://schemas.microsoft.com/office/excel/2006/main">
          <x14:cfRule type="expression" priority="22" id="{929A9DD8-CC91-C644-BF67-D6FE634ED795}">
            <xm:f>OR(Maaned!$BV5="ekskursion")</xm:f>
            <x14:dxf>
              <font>
                <color theme="1"/>
              </font>
              <fill>
                <patternFill>
                  <bgColor rgb="FFFFFF00"/>
                </patternFill>
              </fill>
            </x14:dxf>
          </x14:cfRule>
          <xm:sqref>U3:Y32</xm:sqref>
        </x14:conditionalFormatting>
        <x14:conditionalFormatting xmlns:xm="http://schemas.microsoft.com/office/excel/2006/main">
          <x14:cfRule type="expression" priority="20" id="{6984B7EC-16D3-4C4A-BA3B-40F03CB56610}">
            <xm:f>OR(Maaned!$BV5="nul-dag")</xm:f>
            <x14:dxf>
              <font>
                <color theme="1"/>
              </font>
              <fill>
                <patternFill>
                  <bgColor theme="3" tint="0.59996337778862885"/>
                </patternFill>
              </fill>
            </x14:dxf>
          </x14:cfRule>
          <x14:cfRule type="expression" priority="21" id="{E0EAF2A4-095E-234E-B0BB-557171345B2A}">
            <xm:f>OR(Maaned!$BV5="SH-dag")</xm:f>
            <x14:dxf>
              <font>
                <color theme="1"/>
              </font>
              <fill>
                <patternFill>
                  <bgColor rgb="FFFF2F82"/>
                </patternFill>
              </fill>
            </x14:dxf>
          </x14:cfRule>
          <xm:sqref>U3:Y32</xm:sqref>
        </x14:conditionalFormatting>
        <x14:conditionalFormatting xmlns:xm="http://schemas.microsoft.com/office/excel/2006/main">
          <x14:cfRule type="expression" priority="1" id="{F0BEE529-422E-E340-A6EC-06762E977344}">
            <xm:f>OR(Maaned!$CC5="Ikke relevant")</xm:f>
            <x14:dxf>
              <font>
                <color theme="0"/>
              </font>
              <fill>
                <patternFill>
                  <bgColor theme="1"/>
                </patternFill>
              </fill>
            </x14:dxf>
          </x14:cfRule>
          <x14:cfRule type="expression" priority="9" id="{D517ADF8-817F-054B-9146-3E87DEC8739B}">
            <xm:f>OR(Maaned!$CC5="pæd.dag")</xm:f>
            <x14:dxf>
              <font>
                <color theme="1"/>
              </font>
              <fill>
                <patternFill>
                  <bgColor theme="7" tint="0.39994506668294322"/>
                </patternFill>
              </fill>
            </x14:dxf>
          </x14:cfRule>
          <x14:cfRule type="expression" priority="13" id="{68A3A017-2778-6742-A269-1079E334C9D2}">
            <xm:f>OR(Maaned!$CC5="lejrskole")</xm:f>
            <x14:dxf>
              <font>
                <color theme="1"/>
              </font>
              <fill>
                <patternFill>
                  <bgColor theme="8" tint="0.59996337778862885"/>
                </patternFill>
              </fill>
            </x14:dxf>
          </x14:cfRule>
          <x14:cfRule type="expression" priority="14" id="{859ACBD8-07BA-B942-AF66-F8C8D62755F0}">
            <xm:f>OR(Maaned!$CC5="emnedag")</xm:f>
            <x14:dxf>
              <font>
                <color theme="1"/>
              </font>
              <fill>
                <patternFill>
                  <bgColor theme="5" tint="0.59996337778862885"/>
                </patternFill>
              </fill>
            </x14:dxf>
          </x14:cfRule>
          <x14:cfRule type="expression" priority="15" id="{085CD43C-CE64-454C-BA3B-E1E7DF101E99}">
            <xm:f>OR(Maaned!$CC5="fagdag")</xm:f>
            <x14:dxf>
              <font>
                <color theme="1"/>
              </font>
              <fill>
                <patternFill>
                  <bgColor theme="9" tint="0.59996337778862885"/>
                </patternFill>
              </fill>
            </x14:dxf>
          </x14:cfRule>
          <x14:cfRule type="expression" priority="16" id="{11A4B951-B98F-A043-A2A9-84ECB369DD41}">
            <xm:f>OR(Maaned!$CC5="feriedag")</xm:f>
            <x14:dxf>
              <font>
                <color theme="1"/>
              </font>
              <fill>
                <patternFill>
                  <bgColor theme="6" tint="0.39994506668294322"/>
                </patternFill>
              </fill>
            </x14:dxf>
          </x14:cfRule>
          <x14:cfRule type="expression" priority="17" id="{00544BEC-1ED1-374C-B735-C09CF59E796D}">
            <xm:f>OR(Maaned!$CC5="weekend")</xm:f>
            <x14:dxf>
              <font>
                <color theme="1"/>
              </font>
              <fill>
                <patternFill>
                  <bgColor theme="0" tint="-0.14996795556505021"/>
                </patternFill>
              </fill>
            </x14:dxf>
          </x14:cfRule>
          <xm:sqref>Z3:AD33</xm:sqref>
        </x14:conditionalFormatting>
        <x14:conditionalFormatting xmlns:xm="http://schemas.microsoft.com/office/excel/2006/main">
          <x14:cfRule type="expression" priority="18" stopIfTrue="1" id="{7CF96F1D-A969-D441-8FE0-B4A2FADD1DAB}">
            <xm:f>OR(Maaned!$CC5="skoledag")</xm:f>
            <x14:dxf>
              <font>
                <color theme="1"/>
              </font>
              <fill>
                <patternFill patternType="none">
                  <bgColor auto="1"/>
                </patternFill>
              </fill>
            </x14:dxf>
          </x14:cfRule>
          <xm:sqref>Z3:AD33</xm:sqref>
        </x14:conditionalFormatting>
        <x14:conditionalFormatting xmlns:xm="http://schemas.microsoft.com/office/excel/2006/main">
          <x14:cfRule type="expression" priority="12" id="{1CE3DB7B-733A-E640-B601-A4D92D9964F8}">
            <xm:f>OR(Maaned!$CC5="ekskursion")</xm:f>
            <x14:dxf>
              <font>
                <color theme="1"/>
              </font>
              <fill>
                <patternFill>
                  <bgColor rgb="FFFFFF00"/>
                </patternFill>
              </fill>
            </x14:dxf>
          </x14:cfRule>
          <xm:sqref>Z3:AD33</xm:sqref>
        </x14:conditionalFormatting>
        <x14:conditionalFormatting xmlns:xm="http://schemas.microsoft.com/office/excel/2006/main">
          <x14:cfRule type="expression" priority="10" id="{93A40936-AA49-0443-9ADE-D6753D0D065C}">
            <xm:f>OR(Maaned!$CC5="nul-dag")</xm:f>
            <x14:dxf>
              <font>
                <color theme="1"/>
              </font>
              <fill>
                <patternFill>
                  <bgColor theme="3" tint="0.59996337778862885"/>
                </patternFill>
              </fill>
            </x14:dxf>
          </x14:cfRule>
          <x14:cfRule type="expression" priority="11" id="{099C738A-55FA-FF4B-83F9-9DBABCB4DF0F}">
            <xm:f>OR(Maaned!$CC5="SH-dag")</xm:f>
            <x14:dxf>
              <font>
                <color theme="1"/>
              </font>
              <fill>
                <patternFill>
                  <bgColor rgb="FFFF2F82"/>
                </patternFill>
              </fill>
            </x14:dxf>
          </x14:cfRule>
          <xm:sqref>Z3:AD33</xm:sqref>
        </x14:conditionalFormatting>
        <x14:conditionalFormatting xmlns:xm="http://schemas.microsoft.com/office/excel/2006/main">
          <x14:cfRule type="expression" priority="8" id="{AA8D41F6-A3CD-5249-A8C0-AF6CB62E51FE}">
            <xm:f>OR(Maaned!$AT5="Ikke relevant")</xm:f>
            <x14:dxf>
              <font>
                <color theme="0"/>
              </font>
              <fill>
                <patternFill>
                  <bgColor theme="1"/>
                </patternFill>
              </fill>
            </x14:dxf>
          </x14:cfRule>
          <xm:sqref>A3:E30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I34" sqref="I34"/>
    </sheetView>
  </sheetViews>
  <sheetFormatPr baseColWidth="10" defaultRowHeight="16"/>
  <sheetData/>
  <sheetProtection sheet="1" objects="1" scenarios="1"/>
  <phoneticPr fontId="5" type="noConversion"/>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46"/>
  <sheetViews>
    <sheetView topLeftCell="A186" zoomScale="110" workbookViewId="0">
      <selection activeCell="B39" sqref="B39:C39"/>
    </sheetView>
  </sheetViews>
  <sheetFormatPr baseColWidth="10" defaultColWidth="11" defaultRowHeight="16"/>
  <cols>
    <col min="1" max="1" width="8.5" customWidth="1"/>
    <col min="2" max="2" width="10.5" customWidth="1"/>
    <col min="3" max="3" width="15" customWidth="1"/>
    <col min="4" max="6" width="12.5" customWidth="1"/>
    <col min="7" max="8" width="12.6640625" customWidth="1"/>
    <col min="9" max="9" width="13.33203125" customWidth="1"/>
    <col min="10" max="10" width="12.5" customWidth="1"/>
    <col min="11" max="11" width="12.1640625" customWidth="1"/>
    <col min="12" max="16" width="12.6640625" customWidth="1"/>
    <col min="17" max="17" width="22.83203125" customWidth="1"/>
    <col min="18" max="18" width="30.5" customWidth="1"/>
    <col min="20" max="20" width="12" customWidth="1"/>
    <col min="21" max="21" width="13.5" customWidth="1"/>
    <col min="28" max="28" width="12" customWidth="1"/>
    <col min="29" max="29" width="13.5" customWidth="1"/>
    <col min="36" max="36" width="12" customWidth="1"/>
    <col min="37" max="37" width="13.5" customWidth="1"/>
    <col min="44" max="44" width="12" customWidth="1"/>
    <col min="45" max="45" width="13.5" customWidth="1"/>
  </cols>
  <sheetData>
    <row r="1" spans="1:9" ht="40" customHeight="1">
      <c r="A1" s="699">
        <v>1</v>
      </c>
      <c r="B1" s="992" t="s">
        <v>5</v>
      </c>
      <c r="C1" s="993"/>
      <c r="D1" s="993"/>
      <c r="E1" s="993"/>
      <c r="F1" s="993"/>
      <c r="G1" s="993"/>
      <c r="H1" s="994"/>
    </row>
    <row r="2" spans="1:9" ht="37" customHeight="1">
      <c r="A2" s="700"/>
      <c r="B2" s="322" t="s">
        <v>95</v>
      </c>
      <c r="C2" s="320"/>
      <c r="D2" s="320"/>
      <c r="E2" s="320"/>
      <c r="F2" s="320" t="str">
        <f>Vejledning2019!A2</f>
        <v>2019/20</v>
      </c>
      <c r="G2" s="320"/>
      <c r="H2" s="321"/>
    </row>
    <row r="3" spans="1:9" ht="21" customHeight="1">
      <c r="A3" s="700"/>
      <c r="B3" s="950" t="s">
        <v>25</v>
      </c>
      <c r="C3" s="950"/>
      <c r="D3" s="950"/>
      <c r="E3" s="978" t="str">
        <f>Maaned!A1</f>
        <v>Min egen skole</v>
      </c>
      <c r="F3" s="979"/>
      <c r="G3" s="979"/>
      <c r="H3" s="980"/>
    </row>
    <row r="4" spans="1:9" ht="21" customHeight="1">
      <c r="A4" s="700"/>
      <c r="B4" s="950" t="s">
        <v>68</v>
      </c>
      <c r="C4" s="950"/>
      <c r="D4" s="950"/>
      <c r="E4" s="981"/>
      <c r="F4" s="982"/>
      <c r="G4" s="982"/>
      <c r="H4" s="983"/>
    </row>
    <row r="5" spans="1:9" ht="21" customHeight="1">
      <c r="A5" s="700"/>
      <c r="B5" s="962" t="s">
        <v>34</v>
      </c>
      <c r="C5" s="963"/>
      <c r="D5" s="964"/>
      <c r="E5" s="971" t="s">
        <v>29</v>
      </c>
      <c r="F5" s="972"/>
      <c r="G5" s="971" t="s">
        <v>30</v>
      </c>
      <c r="H5" s="972"/>
    </row>
    <row r="6" spans="1:9" ht="21" customHeight="1">
      <c r="A6" s="700"/>
      <c r="B6" s="965"/>
      <c r="C6" s="966"/>
      <c r="D6" s="967"/>
      <c r="E6" s="887" t="s">
        <v>189</v>
      </c>
      <c r="F6" s="888"/>
      <c r="G6" s="887" t="s">
        <v>189</v>
      </c>
      <c r="H6" s="888"/>
    </row>
    <row r="7" spans="1:9" ht="21" customHeight="1">
      <c r="A7" s="700"/>
      <c r="B7" s="968"/>
      <c r="C7" s="969"/>
      <c r="D7" s="970"/>
      <c r="E7" s="973"/>
      <c r="F7" s="974"/>
      <c r="G7" s="973"/>
      <c r="H7" s="974"/>
    </row>
    <row r="8" spans="1:9" ht="21" customHeight="1">
      <c r="A8" s="700"/>
      <c r="B8" s="950" t="s">
        <v>27</v>
      </c>
      <c r="C8" s="950"/>
      <c r="D8" s="950"/>
      <c r="E8" s="1005"/>
      <c r="F8" s="1006"/>
      <c r="G8" s="1006"/>
      <c r="H8" s="1007"/>
    </row>
    <row r="9" spans="1:9" ht="21" customHeight="1">
      <c r="A9" s="701"/>
      <c r="B9" s="975" t="s">
        <v>28</v>
      </c>
      <c r="C9" s="976"/>
      <c r="D9" s="977"/>
      <c r="E9" s="780">
        <f>7.4*E8</f>
        <v>0</v>
      </c>
      <c r="F9" s="781"/>
      <c r="G9" s="781"/>
      <c r="H9" s="782"/>
    </row>
    <row r="10" spans="1:9" ht="21" customHeight="1">
      <c r="A10" s="20"/>
      <c r="B10" s="47"/>
      <c r="C10" s="51"/>
      <c r="D10" s="51"/>
      <c r="E10" s="48"/>
      <c r="F10" s="48"/>
      <c r="G10" s="48"/>
      <c r="H10" s="48"/>
      <c r="I10" s="48"/>
    </row>
    <row r="11" spans="1:9" ht="28" customHeight="1">
      <c r="A11" s="699">
        <v>2</v>
      </c>
      <c r="B11" s="1009" t="s">
        <v>26</v>
      </c>
      <c r="C11" s="1010"/>
      <c r="D11" s="1010"/>
      <c r="E11" s="1010"/>
      <c r="F11" s="1010"/>
      <c r="G11" s="1010"/>
      <c r="H11" s="1011"/>
    </row>
    <row r="12" spans="1:9" ht="28" customHeight="1">
      <c r="A12" s="700"/>
      <c r="B12" s="642" t="s">
        <v>110</v>
      </c>
      <c r="C12" s="643"/>
      <c r="D12" s="643"/>
      <c r="E12" s="643"/>
      <c r="F12" s="643"/>
      <c r="G12" s="643"/>
      <c r="H12" s="644"/>
    </row>
    <row r="13" spans="1:9" ht="4" customHeight="1">
      <c r="A13" s="700"/>
      <c r="B13" s="645"/>
      <c r="C13" s="646"/>
      <c r="D13" s="646"/>
      <c r="E13" s="646"/>
      <c r="F13" s="646"/>
      <c r="G13" s="646"/>
      <c r="H13" s="647"/>
    </row>
    <row r="14" spans="1:9" ht="16" customHeight="1">
      <c r="A14" s="700"/>
      <c r="B14" s="960"/>
      <c r="C14" s="960"/>
      <c r="D14" s="960"/>
      <c r="E14" s="961" t="s">
        <v>11</v>
      </c>
      <c r="F14" s="961"/>
      <c r="G14" s="867" t="s">
        <v>37</v>
      </c>
      <c r="H14" s="868"/>
    </row>
    <row r="15" spans="1:9" ht="16" customHeight="1">
      <c r="A15" s="700"/>
      <c r="B15" s="950" t="s">
        <v>111</v>
      </c>
      <c r="C15" s="950"/>
      <c r="D15" s="950"/>
      <c r="E15" s="951"/>
      <c r="F15" s="951"/>
      <c r="G15" s="881">
        <f>E15*$E$9</f>
        <v>0</v>
      </c>
      <c r="H15" s="882"/>
    </row>
    <row r="16" spans="1:9" ht="16" customHeight="1">
      <c r="A16" s="700"/>
      <c r="B16" s="950" t="s">
        <v>31</v>
      </c>
      <c r="C16" s="950"/>
      <c r="D16" s="950"/>
      <c r="E16" s="951"/>
      <c r="F16" s="951"/>
      <c r="G16" s="881">
        <f>E16*$E$9</f>
        <v>0</v>
      </c>
      <c r="H16" s="882"/>
    </row>
    <row r="17" spans="1:20" ht="16" customHeight="1">
      <c r="A17" s="700"/>
      <c r="B17" s="950" t="s">
        <v>32</v>
      </c>
      <c r="C17" s="950"/>
      <c r="D17" s="950"/>
      <c r="E17" s="951"/>
      <c r="F17" s="951"/>
      <c r="G17" s="881">
        <f>E17*$E$9</f>
        <v>0</v>
      </c>
      <c r="H17" s="882"/>
    </row>
    <row r="18" spans="1:20" ht="16" customHeight="1">
      <c r="A18" s="700"/>
      <c r="B18" s="950" t="s">
        <v>33</v>
      </c>
      <c r="C18" s="950"/>
      <c r="D18" s="950"/>
      <c r="E18" s="951"/>
      <c r="F18" s="951"/>
      <c r="G18" s="881">
        <f>E18*$E$9</f>
        <v>0</v>
      </c>
      <c r="H18" s="882"/>
    </row>
    <row r="19" spans="1:20" ht="16" customHeight="1">
      <c r="A19" s="701"/>
      <c r="B19" s="950" t="s">
        <v>26</v>
      </c>
      <c r="C19" s="950"/>
      <c r="D19" s="950"/>
      <c r="E19" s="1008">
        <f>E15-E16-E17-E18</f>
        <v>0</v>
      </c>
      <c r="F19" s="1008"/>
      <c r="G19" s="883">
        <f>G15-G16-G17-G18</f>
        <v>0</v>
      </c>
      <c r="H19" s="884"/>
    </row>
    <row r="20" spans="1:20" ht="29">
      <c r="A20" s="35"/>
      <c r="B20" s="47"/>
      <c r="C20" s="48"/>
      <c r="D20" s="48"/>
      <c r="E20" s="48"/>
      <c r="F20" s="48"/>
    </row>
    <row r="21" spans="1:20" ht="28" customHeight="1">
      <c r="A21" s="956" t="s">
        <v>127</v>
      </c>
      <c r="B21" s="878" t="s">
        <v>63</v>
      </c>
      <c r="C21" s="879"/>
      <c r="D21" s="879"/>
      <c r="E21" s="879"/>
      <c r="F21" s="879"/>
      <c r="G21" s="879"/>
      <c r="H21" s="880"/>
      <c r="J21" s="878" t="s">
        <v>63</v>
      </c>
      <c r="K21" s="879"/>
      <c r="L21" s="879"/>
      <c r="M21" s="879"/>
      <c r="N21" s="879"/>
      <c r="O21" s="879"/>
      <c r="P21" s="880"/>
      <c r="R21" s="164"/>
      <c r="T21" s="164"/>
    </row>
    <row r="22" spans="1:20" ht="20" customHeight="1">
      <c r="A22" s="957"/>
      <c r="B22" s="869" t="s">
        <v>102</v>
      </c>
      <c r="C22" s="870"/>
      <c r="D22" s="871"/>
      <c r="E22" s="885" t="s">
        <v>99</v>
      </c>
      <c r="F22" s="885"/>
      <c r="G22" s="995" t="s">
        <v>100</v>
      </c>
      <c r="H22" s="996"/>
      <c r="J22" s="869" t="s">
        <v>102</v>
      </c>
      <c r="K22" s="870"/>
      <c r="L22" s="871"/>
      <c r="M22" s="885" t="s">
        <v>99</v>
      </c>
      <c r="N22" s="885"/>
      <c r="O22" s="885" t="s">
        <v>100</v>
      </c>
      <c r="P22" s="885"/>
      <c r="R22" s="164"/>
      <c r="T22" s="164"/>
    </row>
    <row r="23" spans="1:20" ht="20" customHeight="1">
      <c r="A23" s="957"/>
      <c r="B23" s="872"/>
      <c r="C23" s="873"/>
      <c r="D23" s="874"/>
      <c r="E23" s="887" t="s">
        <v>189</v>
      </c>
      <c r="F23" s="888"/>
      <c r="G23" s="887" t="s">
        <v>189</v>
      </c>
      <c r="H23" s="888"/>
      <c r="J23" s="872"/>
      <c r="K23" s="873"/>
      <c r="L23" s="874"/>
      <c r="M23" s="887" t="s">
        <v>189</v>
      </c>
      <c r="N23" s="888"/>
      <c r="O23" s="887" t="s">
        <v>189</v>
      </c>
      <c r="P23" s="888"/>
      <c r="R23" s="164"/>
      <c r="T23" s="164"/>
    </row>
    <row r="24" spans="1:20" ht="28" customHeight="1">
      <c r="A24" s="957"/>
      <c r="B24" s="875"/>
      <c r="C24" s="876"/>
      <c r="D24" s="877"/>
      <c r="E24" s="886"/>
      <c r="F24" s="886"/>
      <c r="G24" s="997"/>
      <c r="H24" s="998"/>
      <c r="J24" s="875"/>
      <c r="K24" s="876"/>
      <c r="L24" s="877"/>
      <c r="M24" s="886"/>
      <c r="N24" s="886"/>
      <c r="O24" s="886"/>
      <c r="P24" s="886"/>
      <c r="R24" s="164"/>
      <c r="T24" s="164"/>
    </row>
    <row r="25" spans="1:20" ht="99" customHeight="1">
      <c r="A25" s="957"/>
      <c r="B25" s="936" t="s">
        <v>182</v>
      </c>
      <c r="C25" s="937"/>
      <c r="D25" s="937"/>
      <c r="E25" s="937"/>
      <c r="F25" s="937"/>
      <c r="G25" s="937"/>
      <c r="H25" s="938"/>
      <c r="J25" s="936" t="s">
        <v>182</v>
      </c>
      <c r="K25" s="937"/>
      <c r="L25" s="937"/>
      <c r="M25" s="937"/>
      <c r="N25" s="937"/>
      <c r="O25" s="937"/>
      <c r="P25" s="938"/>
      <c r="R25" s="164"/>
      <c r="T25" s="164"/>
    </row>
    <row r="26" spans="1:20" ht="39" customHeight="1">
      <c r="A26" s="957"/>
      <c r="B26" s="863" t="s">
        <v>83</v>
      </c>
      <c r="C26" s="855" t="s">
        <v>128</v>
      </c>
      <c r="D26" s="42" t="s">
        <v>49</v>
      </c>
      <c r="E26" s="42" t="s">
        <v>50</v>
      </c>
      <c r="F26" s="42" t="s">
        <v>51</v>
      </c>
      <c r="G26" s="42" t="s">
        <v>52</v>
      </c>
      <c r="H26" s="42" t="s">
        <v>53</v>
      </c>
      <c r="J26" s="863" t="s">
        <v>83</v>
      </c>
      <c r="K26" s="855" t="s">
        <v>128</v>
      </c>
      <c r="L26" s="83" t="s">
        <v>49</v>
      </c>
      <c r="M26" s="83" t="s">
        <v>50</v>
      </c>
      <c r="N26" s="83" t="s">
        <v>51</v>
      </c>
      <c r="O26" s="83" t="s">
        <v>52</v>
      </c>
      <c r="P26" s="83" t="s">
        <v>53</v>
      </c>
      <c r="R26" s="164"/>
      <c r="T26" s="164"/>
    </row>
    <row r="27" spans="1:20" ht="18" customHeight="1">
      <c r="A27" s="957"/>
      <c r="B27" s="864"/>
      <c r="C27" s="856"/>
      <c r="D27" s="860" t="s">
        <v>87</v>
      </c>
      <c r="E27" s="861"/>
      <c r="F27" s="861"/>
      <c r="G27" s="861"/>
      <c r="H27" s="862"/>
      <c r="J27" s="864"/>
      <c r="K27" s="856"/>
      <c r="L27" s="860" t="s">
        <v>87</v>
      </c>
      <c r="M27" s="861"/>
      <c r="N27" s="861"/>
      <c r="O27" s="861"/>
      <c r="P27" s="862"/>
      <c r="R27" s="164"/>
      <c r="T27" s="164"/>
    </row>
    <row r="28" spans="1:20" ht="18" customHeight="1">
      <c r="A28" s="957"/>
      <c r="B28" s="865"/>
      <c r="C28" s="857"/>
      <c r="D28" s="852" t="s">
        <v>84</v>
      </c>
      <c r="E28" s="853"/>
      <c r="F28" s="853"/>
      <c r="G28" s="853"/>
      <c r="H28" s="854"/>
      <c r="J28" s="865"/>
      <c r="K28" s="857"/>
      <c r="L28" s="852" t="s">
        <v>84</v>
      </c>
      <c r="M28" s="853"/>
      <c r="N28" s="853"/>
      <c r="O28" s="853"/>
      <c r="P28" s="854"/>
      <c r="R28" s="164"/>
      <c r="T28" s="164"/>
    </row>
    <row r="29" spans="1:20" ht="19" customHeight="1">
      <c r="A29" s="957"/>
      <c r="B29" s="33">
        <v>1</v>
      </c>
      <c r="C29" s="74"/>
      <c r="D29" s="195"/>
      <c r="E29" s="75"/>
      <c r="F29" s="75"/>
      <c r="G29" s="75"/>
      <c r="H29" s="195"/>
      <c r="I29" s="63"/>
      <c r="J29" s="82">
        <v>1</v>
      </c>
      <c r="K29" s="74"/>
      <c r="L29" s="195"/>
      <c r="M29" s="75"/>
      <c r="N29" s="75"/>
      <c r="O29" s="75"/>
      <c r="P29" s="195"/>
      <c r="R29" s="165"/>
      <c r="T29" s="165"/>
    </row>
    <row r="30" spans="1:20" ht="19" customHeight="1">
      <c r="A30" s="957"/>
      <c r="B30" s="33">
        <v>2</v>
      </c>
      <c r="C30" s="74"/>
      <c r="D30" s="195"/>
      <c r="E30" s="75"/>
      <c r="F30" s="75"/>
      <c r="G30" s="75"/>
      <c r="H30" s="75"/>
      <c r="J30" s="82">
        <v>2</v>
      </c>
      <c r="K30" s="74"/>
      <c r="L30" s="195"/>
      <c r="M30" s="75"/>
      <c r="N30" s="75"/>
      <c r="O30" s="75"/>
      <c r="P30" s="75"/>
      <c r="R30" s="164"/>
      <c r="T30" s="164"/>
    </row>
    <row r="31" spans="1:20" ht="19" customHeight="1">
      <c r="A31" s="957"/>
      <c r="B31" s="33">
        <v>3</v>
      </c>
      <c r="C31" s="74"/>
      <c r="D31" s="195"/>
      <c r="E31" s="75"/>
      <c r="F31" s="75"/>
      <c r="G31" s="75"/>
      <c r="H31" s="75"/>
      <c r="J31" s="82">
        <v>3</v>
      </c>
      <c r="K31" s="74"/>
      <c r="L31" s="195"/>
      <c r="M31" s="75"/>
      <c r="N31" s="75"/>
      <c r="O31" s="75"/>
      <c r="P31" s="75"/>
      <c r="R31" s="164"/>
      <c r="T31" s="164"/>
    </row>
    <row r="32" spans="1:20" ht="19" customHeight="1">
      <c r="A32" s="957"/>
      <c r="B32" s="33">
        <v>4</v>
      </c>
      <c r="C32" s="74"/>
      <c r="D32" s="195"/>
      <c r="E32" s="75"/>
      <c r="F32" s="75"/>
      <c r="G32" s="75"/>
      <c r="H32" s="75"/>
      <c r="J32" s="82">
        <v>4</v>
      </c>
      <c r="K32" s="74"/>
      <c r="L32" s="195"/>
      <c r="M32" s="75"/>
      <c r="N32" s="75"/>
      <c r="O32" s="75"/>
      <c r="P32" s="75"/>
      <c r="R32" s="164"/>
      <c r="T32" s="164"/>
    </row>
    <row r="33" spans="1:20" ht="19" customHeight="1">
      <c r="A33" s="957"/>
      <c r="B33" s="33">
        <v>5</v>
      </c>
      <c r="C33" s="74"/>
      <c r="D33" s="195"/>
      <c r="E33" s="75"/>
      <c r="F33" s="75"/>
      <c r="G33" s="75"/>
      <c r="H33" s="75"/>
      <c r="J33" s="82">
        <v>5</v>
      </c>
      <c r="K33" s="74"/>
      <c r="L33" s="195"/>
      <c r="M33" s="75"/>
      <c r="N33" s="75"/>
      <c r="O33" s="75"/>
      <c r="P33" s="75"/>
      <c r="R33" s="164"/>
      <c r="T33" s="164"/>
    </row>
    <row r="34" spans="1:20" ht="19" customHeight="1">
      <c r="A34" s="957"/>
      <c r="B34" s="46">
        <v>6</v>
      </c>
      <c r="C34" s="74"/>
      <c r="D34" s="75"/>
      <c r="E34" s="75"/>
      <c r="F34" s="75"/>
      <c r="G34" s="75"/>
      <c r="H34" s="195"/>
      <c r="J34" s="46">
        <v>6</v>
      </c>
      <c r="K34" s="74"/>
      <c r="L34" s="75"/>
      <c r="M34" s="75"/>
      <c r="N34" s="75"/>
      <c r="O34" s="75"/>
      <c r="P34" s="195"/>
      <c r="R34" s="164"/>
      <c r="T34" s="164"/>
    </row>
    <row r="35" spans="1:20" ht="19" customHeight="1">
      <c r="A35" s="957"/>
      <c r="B35" s="46">
        <v>7</v>
      </c>
      <c r="C35" s="74"/>
      <c r="D35" s="75"/>
      <c r="E35" s="75"/>
      <c r="F35" s="75"/>
      <c r="G35" s="75"/>
      <c r="H35" s="163"/>
      <c r="J35" s="46">
        <v>7</v>
      </c>
      <c r="K35" s="74"/>
      <c r="L35" s="75"/>
      <c r="M35" s="75"/>
      <c r="N35" s="75"/>
      <c r="O35" s="75"/>
      <c r="P35" s="195"/>
      <c r="R35" s="164"/>
      <c r="T35" s="164"/>
    </row>
    <row r="36" spans="1:20" ht="19" customHeight="1">
      <c r="A36" s="957"/>
      <c r="B36" s="46">
        <v>8</v>
      </c>
      <c r="C36" s="74"/>
      <c r="D36" s="75"/>
      <c r="E36" s="75"/>
      <c r="F36" s="75"/>
      <c r="G36" s="75"/>
      <c r="H36" s="163"/>
      <c r="J36" s="46">
        <v>8</v>
      </c>
      <c r="K36" s="74"/>
      <c r="L36" s="75"/>
      <c r="M36" s="75"/>
      <c r="N36" s="75"/>
      <c r="O36" s="75"/>
      <c r="P36" s="168"/>
      <c r="R36" s="164"/>
      <c r="T36" s="164"/>
    </row>
    <row r="37" spans="1:20" ht="19" customHeight="1">
      <c r="A37" s="957"/>
      <c r="B37" s="46">
        <v>9</v>
      </c>
      <c r="C37" s="74"/>
      <c r="D37" s="75"/>
      <c r="E37" s="75"/>
      <c r="F37" s="75"/>
      <c r="G37" s="75"/>
      <c r="H37" s="163"/>
      <c r="J37" s="46">
        <v>9</v>
      </c>
      <c r="K37" s="74"/>
      <c r="L37" s="75"/>
      <c r="M37" s="75"/>
      <c r="N37" s="75"/>
      <c r="O37" s="75"/>
      <c r="P37" s="168"/>
      <c r="R37" s="164"/>
      <c r="T37" s="164"/>
    </row>
    <row r="38" spans="1:20" ht="19" customHeight="1">
      <c r="A38" s="957"/>
      <c r="B38" s="46">
        <v>10</v>
      </c>
      <c r="C38" s="74"/>
      <c r="D38" s="75"/>
      <c r="E38" s="75"/>
      <c r="F38" s="75"/>
      <c r="G38" s="75"/>
      <c r="H38" s="163"/>
      <c r="J38" s="46">
        <v>10</v>
      </c>
      <c r="K38" s="74"/>
      <c r="L38" s="75"/>
      <c r="M38" s="75"/>
      <c r="N38" s="75"/>
      <c r="O38" s="75"/>
      <c r="P38" s="168"/>
      <c r="R38" s="164"/>
      <c r="T38" s="164"/>
    </row>
    <row r="39" spans="1:20" ht="42" customHeight="1">
      <c r="A39" s="957"/>
      <c r="B39" s="943" t="s">
        <v>112</v>
      </c>
      <c r="C39" s="944"/>
      <c r="D39" s="74"/>
      <c r="E39" s="74"/>
      <c r="F39" s="74"/>
      <c r="G39" s="74"/>
      <c r="H39" s="74"/>
      <c r="I39" s="1"/>
      <c r="J39" s="943" t="str">
        <f>B39</f>
        <v>Antal ugedage i perioden, hvor der læses et normalt skoleskema</v>
      </c>
      <c r="K39" s="944"/>
      <c r="L39" s="74"/>
      <c r="M39" s="74"/>
      <c r="N39" s="74"/>
      <c r="O39" s="74"/>
      <c r="P39" s="74"/>
      <c r="Q39" s="327"/>
      <c r="R39" s="166"/>
      <c r="T39" s="166"/>
    </row>
    <row r="40" spans="1:20" ht="42" customHeight="1">
      <c r="A40" s="957"/>
      <c r="B40" s="945" t="s">
        <v>129</v>
      </c>
      <c r="C40" s="946"/>
      <c r="D40" s="172">
        <f>(IF(D29&lt;&gt;0,D39*$C$29)+IF(D30&lt;&gt;0,$C$30*D39)+IF(D31&lt;&gt;0,D39*$C$31)+IF(D32&lt;&gt;0,D39*$C$32)+IF(D33&lt;&gt;0,D39*$C$33)+IF(D34&lt;&gt;0,D39*$C$34)+IF(D35&lt;&gt;0,D39*$C$35)+IF(D36&lt;&gt;0,D39*$C$36)+IF(D37&lt;&gt;0,D39*$C$37)+IF(D38&lt;&gt;0,D39*$C$38))/60</f>
        <v>0</v>
      </c>
      <c r="E40" s="172">
        <f>(IF(E29&lt;&gt;0,E39*$C$29)+IF(E30&lt;&gt;0,$C$30*E39)+IF(E31&lt;&gt;0,E39*$C$31)+IF(E32&lt;&gt;0,E39*$C$32)+IF(E33&lt;&gt;0,E39*$C$33)+IF(E34&lt;&gt;0,E39*$C$34)+IF(E35&lt;&gt;0,E39*$C$35)+IF(E36&lt;&gt;0,E39*$C$36)+IF(E37&lt;&gt;0,E39*$C$37)+IF(E38&lt;&gt;0,E39*$C$38))/60</f>
        <v>0</v>
      </c>
      <c r="F40" s="172">
        <f>(IF(F29&lt;&gt;0,F39*$C$29)+IF(F30&lt;&gt;0,$C$30*F39)+IF(F31&lt;&gt;0,F39*$C$31)+IF(F32&lt;&gt;0,F39*$C$32)+IF(F33&lt;&gt;0,F39*$C$33)+IF(F34&lt;&gt;0,F39*$C$34)+IF(F35&lt;&gt;0,F39*$C$35)+IF(F36&lt;&gt;0,F39*$C$36)+IF(F37&lt;&gt;0,F39*$C$37)+IF(F38&lt;&gt;0,F39*$C$38))/60</f>
        <v>0</v>
      </c>
      <c r="G40" s="172">
        <f>(IF(G29&lt;&gt;0,G39*$C$29)+IF(G30&lt;&gt;0,$C$30*G39)+IF(G31&lt;&gt;0,G39*$C$31)+IF(G32&lt;&gt;0,G39*$C$32)+IF(G33&lt;&gt;0,G39*$C$33)+IF(G34&lt;&gt;0,G39*$C$34)+IF(G35&lt;&gt;0,G39*$C$35)+IF(G36&lt;&gt;0,G39*$C$36)+IF(G37&lt;&gt;0,G39*$C$37)+IF(G38&lt;&gt;0,G39*$C$38))/60</f>
        <v>0</v>
      </c>
      <c r="H40" s="172">
        <f>(IF(H29&lt;&gt;0,H39*$C$29)+IF(H30&lt;&gt;0,$C$30*H39)+IF(H31&lt;&gt;0,H39*$C$31)+IF(H32&lt;&gt;0,H39*$C$32)+IF(H33&lt;&gt;0,H39*$C$33)+IF(H34&lt;&gt;0,H39*$C$34)+IF(H35&lt;&gt;0,H39*$C$35)+IF(H36&lt;&gt;0,H39*$C$36)+IF(H37&lt;&gt;0,H39*$C$37)+IF(H38&lt;&gt;0,H39*$C$38))/60</f>
        <v>0</v>
      </c>
      <c r="J40" s="945" t="s">
        <v>129</v>
      </c>
      <c r="K40" s="946"/>
      <c r="L40" s="172">
        <f>(IF(L29&lt;&gt;0,L39*$K$29)+IF(L30&lt;&gt;0,$K$30*L39)+IF(L31&lt;&gt;0,L39*$K$31)+IF(L32&lt;&gt;0,L39*$K$32)+IF(L33&lt;&gt;0,L39*$K$33)+IF(L34&lt;&gt;0,L39*$K$34)+IF(L35&lt;&gt;0,L39*$K$35)+IF(L36&lt;&gt;0,L39*$K$36)+IF(L37&lt;&gt;0,L39*$K$37)+IF(L38&lt;&gt;0,L39*$K$38))/60</f>
        <v>0</v>
      </c>
      <c r="M40" s="172">
        <f>(IF(M29&lt;&gt;0,M39*$K$29)+IF(M30&lt;&gt;0,$K$30*M39)+IF(M31&lt;&gt;0,M39*$K$31)+IF(M32&lt;&gt;0,M39*$K$32)+IF(M33&lt;&gt;0,M39*$K$33)+IF(M34&lt;&gt;0,M39*$K$34)+IF(M35&lt;&gt;0,M39*$K$35)+IF(M36&lt;&gt;0,M39*$K$36)+IF(M37&lt;&gt;0,M39*$K$37)+IF(M38&lt;&gt;0,M39*$K$38))/60</f>
        <v>0</v>
      </c>
      <c r="N40" s="172">
        <f>(IF(N29&lt;&gt;0,N39*$K$29)+IF(N30&lt;&gt;0,$K$30*N39)+IF(N31&lt;&gt;0,N39*$K$31)+IF(N32&lt;&gt;0,N39*$K$32)+IF(N33&lt;&gt;0,N39*$K$33)+IF(N34&lt;&gt;0,N39*$K$34)+IF(N35&lt;&gt;0,N39*$K$35)+IF(N36&lt;&gt;0,N39*$K$36)+IF(N37&lt;&gt;0,N39*$K$37)+IF(N38&lt;&gt;0,N39*$K$38))/60</f>
        <v>0</v>
      </c>
      <c r="O40" s="172">
        <f>(IF(O29&lt;&gt;0,O39*$K$29)+IF(O30&lt;&gt;0,$K$30*O39)+IF(O31&lt;&gt;0,O39*$K$31)+IF(O32&lt;&gt;0,O39*$K$32)+IF(O33&lt;&gt;0,O39*$K$33)+IF(O34&lt;&gt;0,O39*$K$34)+IF(O35&lt;&gt;0,O39*$K$35)+IF(O36&lt;&gt;0,O39*$K$36)+IF(O37&lt;&gt;0,O39*$K$37)+IF(O38&lt;&gt;0,O39*$K$38))/60</f>
        <v>0</v>
      </c>
      <c r="P40" s="172">
        <f>(IF(P29&lt;&gt;0,P39*$K$29)+IF(P30&lt;&gt;0,$K$30*P39)+IF(P31&lt;&gt;0,P39*$K$31)+IF(P32&lt;&gt;0,P39*$K$32)+IF(P33&lt;&gt;0,P39*$K$33)+IF(P34&lt;&gt;0,P39*$K$34)+IF(P35&lt;&gt;0,P39*$K$35)+IF(P36&lt;&gt;0,P39*$K$36)+IF(P37&lt;&gt;0,P39*$K$37)+IF(P38&lt;&gt;0,P39*$K$38))/60</f>
        <v>0</v>
      </c>
      <c r="R40" s="166"/>
      <c r="T40" s="164"/>
    </row>
    <row r="41" spans="1:20" ht="23" customHeight="1">
      <c r="A41" s="958"/>
      <c r="B41" s="947" t="s">
        <v>185</v>
      </c>
      <c r="C41" s="948"/>
      <c r="D41" s="948"/>
      <c r="E41" s="948"/>
      <c r="F41" s="948"/>
      <c r="G41" s="948"/>
      <c r="H41" s="949"/>
      <c r="J41" s="947" t="s">
        <v>183</v>
      </c>
      <c r="K41" s="948"/>
      <c r="L41" s="948"/>
      <c r="M41" s="948"/>
      <c r="N41" s="948"/>
      <c r="O41" s="948"/>
      <c r="P41" s="949"/>
      <c r="R41" s="166"/>
      <c r="T41" s="164"/>
    </row>
    <row r="42" spans="1:20" ht="23" customHeight="1">
      <c r="A42" s="958"/>
      <c r="B42" s="930" t="s">
        <v>320</v>
      </c>
      <c r="C42" s="931"/>
      <c r="D42" s="931"/>
      <c r="E42" s="931"/>
      <c r="F42" s="931"/>
      <c r="G42" s="931"/>
      <c r="H42" s="932"/>
      <c r="J42" s="930" t="s">
        <v>320</v>
      </c>
      <c r="K42" s="931"/>
      <c r="L42" s="931"/>
      <c r="M42" s="931"/>
      <c r="N42" s="931"/>
      <c r="O42" s="931"/>
      <c r="P42" s="932"/>
      <c r="R42" s="166"/>
      <c r="T42" s="164"/>
    </row>
    <row r="43" spans="1:20" ht="19" customHeight="1">
      <c r="A43" s="958"/>
      <c r="B43" s="927" t="str">
        <f>"(Hvis brug for flere rækker - kan disse indsættes imellem række "&amp;$I$45&amp;" -"&amp;$I$59&amp;")"</f>
        <v>(Hvis brug for flere rækker - kan disse indsættes imellem række 45 -58)</v>
      </c>
      <c r="C43" s="928"/>
      <c r="D43" s="928"/>
      <c r="E43" s="928"/>
      <c r="F43" s="928"/>
      <c r="G43" s="928"/>
      <c r="H43" s="929"/>
      <c r="J43" s="927" t="str">
        <f>"(Hvis brug for flere rækker - kan disse indsættes imellem række "&amp;$I$45&amp;" -"&amp;$I$59&amp;")"</f>
        <v>(Hvis brug for flere rækker - kan disse indsættes imellem række 45 -58)</v>
      </c>
      <c r="K43" s="928"/>
      <c r="L43" s="928"/>
      <c r="M43" s="928"/>
      <c r="N43" s="928"/>
      <c r="O43" s="928"/>
      <c r="P43" s="929"/>
      <c r="R43" s="164"/>
      <c r="T43" s="164"/>
    </row>
    <row r="44" spans="1:20" ht="19" customHeight="1">
      <c r="A44" s="958"/>
      <c r="B44" s="866" t="s">
        <v>362</v>
      </c>
      <c r="C44" s="866"/>
      <c r="D44" s="516" t="s">
        <v>49</v>
      </c>
      <c r="E44" s="516" t="s">
        <v>50</v>
      </c>
      <c r="F44" s="516" t="s">
        <v>51</v>
      </c>
      <c r="G44" s="516" t="s">
        <v>52</v>
      </c>
      <c r="H44" s="516" t="s">
        <v>53</v>
      </c>
      <c r="J44" s="866" t="s">
        <v>362</v>
      </c>
      <c r="K44" s="866"/>
      <c r="L44" s="516" t="s">
        <v>49</v>
      </c>
      <c r="M44" s="516" t="s">
        <v>50</v>
      </c>
      <c r="N44" s="516" t="s">
        <v>51</v>
      </c>
      <c r="O44" s="516" t="s">
        <v>52</v>
      </c>
      <c r="P44" s="516" t="s">
        <v>53</v>
      </c>
      <c r="R44" s="164"/>
      <c r="T44" s="164"/>
    </row>
    <row r="45" spans="1:20" ht="19" customHeight="1">
      <c r="A45" s="957"/>
      <c r="B45" s="842"/>
      <c r="C45" s="844"/>
      <c r="D45" s="197"/>
      <c r="E45" s="197"/>
      <c r="F45" s="197"/>
      <c r="G45" s="197"/>
      <c r="H45" s="197"/>
      <c r="I45" s="198">
        <f>ROW(I45)</f>
        <v>45</v>
      </c>
      <c r="J45" s="842"/>
      <c r="K45" s="844"/>
      <c r="L45" s="197"/>
      <c r="M45" s="197"/>
      <c r="N45" s="197"/>
      <c r="O45" s="197"/>
      <c r="P45" s="197"/>
      <c r="R45" s="164"/>
      <c r="T45" s="164"/>
    </row>
    <row r="46" spans="1:20" ht="19" customHeight="1">
      <c r="A46" s="957"/>
      <c r="B46" s="839"/>
      <c r="C46" s="841"/>
      <c r="D46" s="75"/>
      <c r="E46" s="75"/>
      <c r="F46" s="75"/>
      <c r="G46" s="75"/>
      <c r="H46" s="75"/>
      <c r="J46" s="839"/>
      <c r="K46" s="841"/>
      <c r="L46" s="75"/>
      <c r="M46" s="75"/>
      <c r="N46" s="75"/>
      <c r="O46" s="75"/>
      <c r="P46" s="75"/>
      <c r="R46" s="164"/>
      <c r="T46" s="164"/>
    </row>
    <row r="47" spans="1:20" ht="19" customHeight="1">
      <c r="A47" s="957"/>
      <c r="B47" s="839"/>
      <c r="C47" s="841"/>
      <c r="D47" s="75"/>
      <c r="E47" s="75"/>
      <c r="F47" s="75"/>
      <c r="G47" s="75"/>
      <c r="H47" s="75"/>
      <c r="J47" s="839"/>
      <c r="K47" s="841"/>
      <c r="L47" s="75"/>
      <c r="M47" s="75"/>
      <c r="N47" s="75"/>
      <c r="O47" s="75"/>
      <c r="P47" s="75"/>
      <c r="R47" s="164"/>
      <c r="T47" s="164"/>
    </row>
    <row r="48" spans="1:20" ht="19" customHeight="1">
      <c r="A48" s="957"/>
      <c r="B48" s="839"/>
      <c r="C48" s="841"/>
      <c r="D48" s="75"/>
      <c r="E48" s="75"/>
      <c r="F48" s="75"/>
      <c r="G48" s="75"/>
      <c r="H48" s="75"/>
      <c r="J48" s="839"/>
      <c r="K48" s="841"/>
      <c r="L48" s="75"/>
      <c r="M48" s="75"/>
      <c r="N48" s="75"/>
      <c r="O48" s="75"/>
      <c r="P48" s="75"/>
      <c r="R48" s="164"/>
      <c r="T48" s="164"/>
    </row>
    <row r="49" spans="1:20" ht="19" customHeight="1">
      <c r="A49" s="957"/>
      <c r="B49" s="858"/>
      <c r="C49" s="859"/>
      <c r="D49" s="75"/>
      <c r="E49" s="75"/>
      <c r="F49" s="75"/>
      <c r="G49" s="75"/>
      <c r="H49" s="75"/>
      <c r="J49" s="839"/>
      <c r="K49" s="841"/>
      <c r="L49" s="75"/>
      <c r="M49" s="75"/>
      <c r="N49" s="75"/>
      <c r="O49" s="75"/>
      <c r="P49" s="75"/>
      <c r="R49" s="164"/>
      <c r="T49" s="164"/>
    </row>
    <row r="50" spans="1:20" ht="19" customHeight="1">
      <c r="A50" s="957"/>
      <c r="B50" s="839"/>
      <c r="C50" s="841"/>
      <c r="D50" s="75"/>
      <c r="E50" s="75"/>
      <c r="F50" s="75"/>
      <c r="G50" s="75"/>
      <c r="H50" s="75"/>
      <c r="J50" s="839"/>
      <c r="K50" s="841"/>
      <c r="L50" s="75"/>
      <c r="M50" s="75"/>
      <c r="N50" s="75"/>
      <c r="O50" s="75"/>
      <c r="P50" s="75"/>
      <c r="R50" s="164"/>
      <c r="T50" s="164"/>
    </row>
    <row r="51" spans="1:20" ht="19" customHeight="1">
      <c r="A51" s="957"/>
      <c r="B51" s="839"/>
      <c r="C51" s="841"/>
      <c r="D51" s="75"/>
      <c r="E51" s="75"/>
      <c r="F51" s="75"/>
      <c r="G51" s="75"/>
      <c r="H51" s="75"/>
      <c r="J51" s="839"/>
      <c r="K51" s="841"/>
      <c r="L51" s="75"/>
      <c r="M51" s="75"/>
      <c r="N51" s="75"/>
      <c r="O51" s="75"/>
      <c r="P51" s="75"/>
      <c r="R51" s="164"/>
      <c r="T51" s="164"/>
    </row>
    <row r="52" spans="1:20" ht="19" customHeight="1">
      <c r="A52" s="957"/>
      <c r="B52" s="839"/>
      <c r="C52" s="841"/>
      <c r="D52" s="75"/>
      <c r="E52" s="75"/>
      <c r="F52" s="75"/>
      <c r="G52" s="75"/>
      <c r="H52" s="75"/>
      <c r="J52" s="839"/>
      <c r="K52" s="841"/>
      <c r="L52" s="75"/>
      <c r="M52" s="75"/>
      <c r="N52" s="75"/>
      <c r="O52" s="75"/>
      <c r="P52" s="75"/>
      <c r="R52" s="164"/>
      <c r="T52" s="164"/>
    </row>
    <row r="53" spans="1:20" ht="19" customHeight="1">
      <c r="A53" s="957"/>
      <c r="B53" s="839"/>
      <c r="C53" s="841"/>
      <c r="D53" s="75"/>
      <c r="E53" s="75"/>
      <c r="F53" s="75"/>
      <c r="G53" s="75"/>
      <c r="H53" s="75"/>
      <c r="J53" s="839"/>
      <c r="K53" s="841"/>
      <c r="L53" s="75"/>
      <c r="M53" s="75"/>
      <c r="N53" s="75"/>
      <c r="O53" s="75"/>
      <c r="P53" s="75"/>
      <c r="R53" s="164"/>
      <c r="T53" s="164"/>
    </row>
    <row r="54" spans="1:20" ht="19" customHeight="1">
      <c r="A54" s="957"/>
      <c r="B54" s="839"/>
      <c r="C54" s="841"/>
      <c r="D54" s="75"/>
      <c r="E54" s="75"/>
      <c r="F54" s="75"/>
      <c r="G54" s="75"/>
      <c r="H54" s="75"/>
      <c r="J54" s="839"/>
      <c r="K54" s="841"/>
      <c r="L54" s="75"/>
      <c r="M54" s="75"/>
      <c r="N54" s="75"/>
      <c r="O54" s="75"/>
      <c r="P54" s="75"/>
      <c r="R54" s="164"/>
      <c r="T54" s="164"/>
    </row>
    <row r="55" spans="1:20" ht="19" customHeight="1">
      <c r="A55" s="957"/>
      <c r="B55" s="839"/>
      <c r="C55" s="841"/>
      <c r="D55" s="75"/>
      <c r="E55" s="75"/>
      <c r="F55" s="75"/>
      <c r="G55" s="75"/>
      <c r="H55" s="75"/>
      <c r="J55" s="839"/>
      <c r="K55" s="841"/>
      <c r="L55" s="75"/>
      <c r="M55" s="75"/>
      <c r="N55" s="75"/>
      <c r="O55" s="75"/>
      <c r="P55" s="75"/>
      <c r="R55" s="164"/>
      <c r="T55" s="164"/>
    </row>
    <row r="56" spans="1:20" ht="19" customHeight="1">
      <c r="A56" s="957"/>
      <c r="B56" s="839"/>
      <c r="C56" s="841"/>
      <c r="D56" s="75"/>
      <c r="E56" s="75"/>
      <c r="F56" s="75"/>
      <c r="G56" s="75"/>
      <c r="H56" s="75"/>
      <c r="J56" s="839"/>
      <c r="K56" s="841"/>
      <c r="L56" s="75"/>
      <c r="M56" s="75"/>
      <c r="N56" s="75"/>
      <c r="O56" s="75"/>
      <c r="P56" s="75"/>
      <c r="R56" s="164"/>
      <c r="T56" s="164"/>
    </row>
    <row r="57" spans="1:20" ht="19" customHeight="1">
      <c r="A57" s="957"/>
      <c r="B57" s="839"/>
      <c r="C57" s="841"/>
      <c r="D57" s="75"/>
      <c r="E57" s="75"/>
      <c r="F57" s="75"/>
      <c r="G57" s="75"/>
      <c r="H57" s="75"/>
      <c r="J57" s="839"/>
      <c r="K57" s="841"/>
      <c r="L57" s="75"/>
      <c r="M57" s="75"/>
      <c r="N57" s="75"/>
      <c r="O57" s="75"/>
      <c r="P57" s="75"/>
      <c r="R57" s="164"/>
      <c r="T57" s="164"/>
    </row>
    <row r="58" spans="1:20" ht="19" customHeight="1">
      <c r="A58" s="957"/>
      <c r="B58" s="839"/>
      <c r="C58" s="841"/>
      <c r="D58" s="75"/>
      <c r="E58" s="75"/>
      <c r="F58" s="75"/>
      <c r="G58" s="75"/>
      <c r="H58" s="75"/>
      <c r="J58" s="839"/>
      <c r="K58" s="841"/>
      <c r="L58" s="75"/>
      <c r="M58" s="75"/>
      <c r="N58" s="75"/>
      <c r="O58" s="75"/>
      <c r="P58" s="75"/>
      <c r="R58" s="164"/>
      <c r="T58" s="164"/>
    </row>
    <row r="59" spans="1:20" ht="19" customHeight="1">
      <c r="A59" s="957"/>
      <c r="B59" s="933" t="s">
        <v>11</v>
      </c>
      <c r="C59" s="952"/>
      <c r="D59" s="108">
        <f>COUNTIF(D45:D58,"&gt;0")</f>
        <v>0</v>
      </c>
      <c r="E59" s="108">
        <f>COUNTIF(E45:E58,"&gt;0")</f>
        <v>0</v>
      </c>
      <c r="F59" s="108">
        <f>COUNTIF(F45:F58,"&gt;0")</f>
        <v>0</v>
      </c>
      <c r="G59" s="108">
        <f>COUNTIF(G45:G58,"&gt;0")</f>
        <v>0</v>
      </c>
      <c r="H59" s="108">
        <f>COUNTIF(H45:H58,"&gt;0")</f>
        <v>0</v>
      </c>
      <c r="I59" s="97">
        <f>ROW(I58)</f>
        <v>58</v>
      </c>
      <c r="J59" s="933" t="s">
        <v>11</v>
      </c>
      <c r="K59" s="934"/>
      <c r="L59" s="108">
        <f>COUNTIF(L45:L58,"&gt;0")</f>
        <v>0</v>
      </c>
      <c r="M59" s="108">
        <f>COUNTIF(M45:M58,"&gt;0")</f>
        <v>0</v>
      </c>
      <c r="N59" s="108">
        <f>COUNTIF(N45:N58,"&gt;0")</f>
        <v>0</v>
      </c>
      <c r="O59" s="108">
        <f>COUNTIF(O45:O58,"&gt;0")</f>
        <v>0</v>
      </c>
      <c r="P59" s="108">
        <f>COUNTIF(P45:P58,"&gt;0")</f>
        <v>0</v>
      </c>
      <c r="R59" s="167">
        <v>48</v>
      </c>
      <c r="T59" s="167">
        <v>48</v>
      </c>
    </row>
    <row r="60" spans="1:20" ht="21" customHeight="1">
      <c r="A60" s="957"/>
      <c r="B60" s="737" t="s">
        <v>85</v>
      </c>
      <c r="C60" s="738"/>
      <c r="D60" s="738"/>
      <c r="E60" s="738"/>
      <c r="F60" s="738"/>
      <c r="G60" s="935"/>
      <c r="H60" s="183">
        <f>SUM(D45:H58)</f>
        <v>0</v>
      </c>
      <c r="J60" s="737" t="s">
        <v>85</v>
      </c>
      <c r="K60" s="738"/>
      <c r="L60" s="738"/>
      <c r="M60" s="738"/>
      <c r="N60" s="738"/>
      <c r="O60" s="935"/>
      <c r="P60" s="183">
        <f>SUM(L45:P58)</f>
        <v>0</v>
      </c>
      <c r="R60" s="164"/>
      <c r="T60" s="164"/>
    </row>
    <row r="61" spans="1:20" ht="28" customHeight="1">
      <c r="A61" s="957"/>
      <c r="B61" s="737" t="s">
        <v>86</v>
      </c>
      <c r="C61" s="738"/>
      <c r="D61" s="738"/>
      <c r="E61" s="738"/>
      <c r="F61" s="738"/>
      <c r="G61" s="935"/>
      <c r="H61" s="87">
        <f>COUNTIF(D45:H58,"&gt;0")</f>
        <v>0</v>
      </c>
      <c r="J61" s="737" t="s">
        <v>86</v>
      </c>
      <c r="K61" s="738"/>
      <c r="L61" s="738"/>
      <c r="M61" s="738"/>
      <c r="N61" s="738"/>
      <c r="O61" s="935"/>
      <c r="P61" s="108">
        <f>COUNTIF(L45:P58,"&gt;0")</f>
        <v>0</v>
      </c>
      <c r="R61" s="164"/>
      <c r="T61" s="164"/>
    </row>
    <row r="62" spans="1:20" ht="27" customHeight="1">
      <c r="A62" s="957"/>
      <c r="B62" s="825" t="s">
        <v>130</v>
      </c>
      <c r="C62" s="826"/>
      <c r="D62" s="826"/>
      <c r="E62" s="826"/>
      <c r="F62" s="826"/>
      <c r="G62" s="827"/>
      <c r="H62" s="172">
        <f>SUM(D40:H40)+H60</f>
        <v>0</v>
      </c>
      <c r="J62" s="825" t="s">
        <v>130</v>
      </c>
      <c r="K62" s="826"/>
      <c r="L62" s="826"/>
      <c r="M62" s="826"/>
      <c r="N62" s="826"/>
      <c r="O62" s="827"/>
      <c r="P62" s="172">
        <f>SUM(L40:P40)+P60</f>
        <v>0</v>
      </c>
      <c r="R62" s="164"/>
      <c r="T62" s="164"/>
    </row>
    <row r="63" spans="1:20" ht="22" customHeight="1">
      <c r="A63" s="958"/>
      <c r="B63" s="987" t="s">
        <v>184</v>
      </c>
      <c r="C63" s="988"/>
      <c r="D63" s="988"/>
      <c r="E63" s="988"/>
      <c r="F63" s="988"/>
      <c r="G63" s="988"/>
      <c r="H63" s="989"/>
      <c r="J63" s="987" t="s">
        <v>184</v>
      </c>
      <c r="K63" s="988"/>
      <c r="L63" s="988"/>
      <c r="M63" s="988"/>
      <c r="N63" s="988"/>
      <c r="O63" s="988"/>
      <c r="P63" s="989"/>
      <c r="R63" s="164"/>
      <c r="T63" s="164"/>
    </row>
    <row r="64" spans="1:20" ht="22" customHeight="1">
      <c r="A64" s="958"/>
      <c r="B64" s="828" t="str">
        <f>"Feks. Vikartimer, enkelte længere dage eller aftensarrangementer der medfører undervisningstillæg - HUSK angiv i hele klokketimer. Hvis brug for flere rækker - kan disse indsættes imellem række "&amp;$I$66&amp;" - "&amp;$I$69&amp;"      "</f>
        <v xml:space="preserve">Feks. Vikartimer, enkelte længere dage eller aftensarrangementer der medfører undervisningstillæg - HUSK angiv i hele klokketimer. Hvis brug for flere rækker - kan disse indsættes imellem række 66 - 69      </v>
      </c>
      <c r="C64" s="829"/>
      <c r="D64" s="829"/>
      <c r="E64" s="829"/>
      <c r="F64" s="829"/>
      <c r="G64" s="829"/>
      <c r="H64" s="830"/>
      <c r="J64" s="828" t="str">
        <f>"Feks. Vikartimer, enkelte længere dage eller aftensarrangementer der medfører undervisningstillæg - HUSK angiv i hele klokketimer. Hvis brug for flere rækker - kan disse indsættes imellem række "&amp;$I$66&amp;" - "&amp;$I$69&amp;"      "</f>
        <v xml:space="preserve">Feks. Vikartimer, enkelte længere dage eller aftensarrangementer der medfører undervisningstillæg - HUSK angiv i hele klokketimer. Hvis brug for flere rækker - kan disse indsættes imellem række 66 - 69      </v>
      </c>
      <c r="K64" s="829"/>
      <c r="L64" s="829"/>
      <c r="M64" s="829"/>
      <c r="N64" s="829"/>
      <c r="O64" s="829"/>
      <c r="P64" s="830"/>
      <c r="R64" s="164"/>
      <c r="T64" s="164"/>
    </row>
    <row r="65" spans="1:20" ht="14" customHeight="1">
      <c r="A65" s="958"/>
      <c r="B65" s="831"/>
      <c r="C65" s="832"/>
      <c r="D65" s="832"/>
      <c r="E65" s="832"/>
      <c r="F65" s="832"/>
      <c r="G65" s="832"/>
      <c r="H65" s="833"/>
      <c r="J65" s="831"/>
      <c r="K65" s="832"/>
      <c r="L65" s="832"/>
      <c r="M65" s="832"/>
      <c r="N65" s="832"/>
      <c r="O65" s="832"/>
      <c r="P65" s="833"/>
      <c r="R65" s="164"/>
      <c r="T65" s="164"/>
    </row>
    <row r="66" spans="1:20" ht="18" customHeight="1">
      <c r="A66" s="958"/>
      <c r="B66" s="839"/>
      <c r="C66" s="840"/>
      <c r="D66" s="840"/>
      <c r="E66" s="840"/>
      <c r="F66" s="840"/>
      <c r="G66" s="841"/>
      <c r="H66" s="75"/>
      <c r="I66" s="81">
        <f>ROW(I66)</f>
        <v>66</v>
      </c>
      <c r="J66" s="842"/>
      <c r="K66" s="843"/>
      <c r="L66" s="843"/>
      <c r="M66" s="843"/>
      <c r="N66" s="843"/>
      <c r="O66" s="844"/>
      <c r="P66" s="197"/>
      <c r="R66" s="164"/>
      <c r="T66" s="164"/>
    </row>
    <row r="67" spans="1:20" ht="18" customHeight="1">
      <c r="A67" s="958"/>
      <c r="B67" s="839"/>
      <c r="C67" s="840"/>
      <c r="D67" s="840"/>
      <c r="E67" s="840"/>
      <c r="F67" s="840"/>
      <c r="G67" s="841"/>
      <c r="H67" s="75"/>
      <c r="I67" s="81"/>
      <c r="J67" s="839"/>
      <c r="K67" s="840"/>
      <c r="L67" s="840"/>
      <c r="M67" s="840"/>
      <c r="N67" s="840"/>
      <c r="O67" s="841"/>
      <c r="P67" s="75"/>
      <c r="R67" s="164"/>
      <c r="T67" s="164"/>
    </row>
    <row r="68" spans="1:20" ht="18" customHeight="1">
      <c r="A68" s="958"/>
      <c r="B68" s="839"/>
      <c r="C68" s="840"/>
      <c r="D68" s="840"/>
      <c r="E68" s="840"/>
      <c r="F68" s="840"/>
      <c r="G68" s="841"/>
      <c r="H68" s="75"/>
      <c r="I68" s="81"/>
      <c r="J68" s="839"/>
      <c r="K68" s="840"/>
      <c r="L68" s="840"/>
      <c r="M68" s="840"/>
      <c r="N68" s="840"/>
      <c r="O68" s="841"/>
      <c r="P68" s="75"/>
      <c r="R68" s="164"/>
      <c r="T68" s="164"/>
    </row>
    <row r="69" spans="1:20" ht="18" customHeight="1">
      <c r="A69" s="958"/>
      <c r="B69" s="837"/>
      <c r="C69" s="837"/>
      <c r="D69" s="837"/>
      <c r="E69" s="837"/>
      <c r="F69" s="837"/>
      <c r="G69" s="837"/>
      <c r="H69" s="75"/>
      <c r="I69" s="81">
        <f>ROW(I69)</f>
        <v>69</v>
      </c>
      <c r="J69" s="837"/>
      <c r="K69" s="837"/>
      <c r="L69" s="837"/>
      <c r="M69" s="837"/>
      <c r="N69" s="837"/>
      <c r="O69" s="837"/>
      <c r="P69" s="75"/>
      <c r="R69" s="164"/>
      <c r="T69" s="164"/>
    </row>
    <row r="70" spans="1:20" ht="27" customHeight="1">
      <c r="A70" s="958"/>
      <c r="B70" s="838" t="s">
        <v>186</v>
      </c>
      <c r="C70" s="838"/>
      <c r="D70" s="838"/>
      <c r="E70" s="838"/>
      <c r="F70" s="838"/>
      <c r="G70" s="838"/>
      <c r="H70" s="87">
        <f>SUM(H66:H69)</f>
        <v>0</v>
      </c>
      <c r="I70" s="81"/>
      <c r="J70" s="838" t="s">
        <v>186</v>
      </c>
      <c r="K70" s="838"/>
      <c r="L70" s="838"/>
      <c r="M70" s="838"/>
      <c r="N70" s="838"/>
      <c r="O70" s="838"/>
      <c r="P70" s="87">
        <f>SUM(P66:P69)</f>
        <v>0</v>
      </c>
      <c r="R70" s="164"/>
      <c r="T70" s="164"/>
    </row>
    <row r="71" spans="1:20" ht="27" customHeight="1">
      <c r="A71" s="958"/>
      <c r="B71" s="834" t="s">
        <v>187</v>
      </c>
      <c r="C71" s="835"/>
      <c r="D71" s="835"/>
      <c r="E71" s="835"/>
      <c r="F71" s="835"/>
      <c r="G71" s="835"/>
      <c r="H71" s="836"/>
      <c r="I71" s="81"/>
      <c r="J71" s="834" t="s">
        <v>187</v>
      </c>
      <c r="K71" s="835"/>
      <c r="L71" s="835"/>
      <c r="M71" s="835"/>
      <c r="N71" s="835"/>
      <c r="O71" s="835"/>
      <c r="P71" s="836"/>
      <c r="R71" s="164"/>
      <c r="T71" s="164"/>
    </row>
    <row r="72" spans="1:20" ht="23" customHeight="1">
      <c r="A72" s="958"/>
      <c r="B72" s="999" t="str">
        <f>"Oversigt over antal hele klokketimer (Hvis brug for flere rækker - kan disse indsættes imellem række "&amp;$I$73&amp;" - "&amp;$I$77&amp;""</f>
        <v>Oversigt over antal hele klokketimer (Hvis brug for flere rækker - kan disse indsættes imellem række 73 - 77</v>
      </c>
      <c r="C72" s="1000"/>
      <c r="D72" s="1000"/>
      <c r="E72" s="1000"/>
      <c r="F72" s="1000"/>
      <c r="G72" s="1000"/>
      <c r="H72" s="1001"/>
      <c r="I72" s="81"/>
      <c r="J72" s="845" t="str">
        <f>"Oversigt over antal hele klokketimer (Hvis brug for flere rækker - kan disse indsættes imellem række "&amp;$I$73&amp;" - "&amp;$I$77&amp;""</f>
        <v>Oversigt over antal hele klokketimer (Hvis brug for flere rækker - kan disse indsættes imellem række 73 - 77</v>
      </c>
      <c r="K72" s="846"/>
      <c r="L72" s="846"/>
      <c r="M72" s="846"/>
      <c r="N72" s="846"/>
      <c r="O72" s="846"/>
      <c r="P72" s="847"/>
      <c r="R72" s="164"/>
      <c r="T72" s="164"/>
    </row>
    <row r="73" spans="1:20" ht="17" customHeight="1">
      <c r="A73" s="957"/>
      <c r="B73" s="851"/>
      <c r="C73" s="851"/>
      <c r="D73" s="851"/>
      <c r="E73" s="851"/>
      <c r="F73" s="851"/>
      <c r="G73" s="851"/>
      <c r="H73" s="197"/>
      <c r="I73" s="81">
        <f>ROW(I73)</f>
        <v>73</v>
      </c>
      <c r="J73" s="848"/>
      <c r="K73" s="849"/>
      <c r="L73" s="849"/>
      <c r="M73" s="849"/>
      <c r="N73" s="849"/>
      <c r="O73" s="850"/>
      <c r="P73" s="109"/>
      <c r="R73" s="164"/>
      <c r="T73" s="164"/>
    </row>
    <row r="74" spans="1:20" ht="17" customHeight="1">
      <c r="A74" s="957"/>
      <c r="B74" s="745"/>
      <c r="C74" s="745"/>
      <c r="D74" s="745"/>
      <c r="E74" s="745"/>
      <c r="F74" s="745"/>
      <c r="G74" s="745"/>
      <c r="H74" s="75"/>
      <c r="I74" s="81"/>
      <c r="J74" s="731"/>
      <c r="K74" s="732"/>
      <c r="L74" s="732"/>
      <c r="M74" s="732"/>
      <c r="N74" s="732"/>
      <c r="O74" s="733"/>
      <c r="P74" s="109"/>
      <c r="R74" s="164"/>
      <c r="T74" s="164"/>
    </row>
    <row r="75" spans="1:20" ht="17" customHeight="1">
      <c r="A75" s="957"/>
      <c r="B75" s="746"/>
      <c r="C75" s="747"/>
      <c r="D75" s="747"/>
      <c r="E75" s="747"/>
      <c r="F75" s="747"/>
      <c r="G75" s="748"/>
      <c r="H75" s="75"/>
      <c r="J75" s="734"/>
      <c r="K75" s="735"/>
      <c r="L75" s="735"/>
      <c r="M75" s="735"/>
      <c r="N75" s="735"/>
      <c r="O75" s="736"/>
      <c r="P75" s="109"/>
      <c r="R75" s="164"/>
      <c r="T75" s="164"/>
    </row>
    <row r="76" spans="1:20" ht="17" customHeight="1">
      <c r="A76" s="957"/>
      <c r="B76" s="746"/>
      <c r="C76" s="747"/>
      <c r="D76" s="747"/>
      <c r="E76" s="747"/>
      <c r="F76" s="747"/>
      <c r="G76" s="748"/>
      <c r="H76" s="75"/>
      <c r="J76" s="734"/>
      <c r="K76" s="735"/>
      <c r="L76" s="735"/>
      <c r="M76" s="735"/>
      <c r="N76" s="735"/>
      <c r="O76" s="736"/>
      <c r="P76" s="109"/>
      <c r="R76" s="164"/>
      <c r="T76" s="164"/>
    </row>
    <row r="77" spans="1:20" ht="17" customHeight="1">
      <c r="A77" s="957"/>
      <c r="B77" s="746"/>
      <c r="C77" s="747"/>
      <c r="D77" s="747"/>
      <c r="E77" s="747"/>
      <c r="F77" s="747"/>
      <c r="G77" s="748"/>
      <c r="H77" s="75"/>
      <c r="I77" s="81">
        <f>ROW(I77)</f>
        <v>77</v>
      </c>
      <c r="J77" s="734"/>
      <c r="K77" s="735"/>
      <c r="L77" s="735"/>
      <c r="M77" s="735"/>
      <c r="N77" s="735"/>
      <c r="O77" s="736"/>
      <c r="P77" s="109"/>
      <c r="R77" s="164"/>
      <c r="T77" s="164"/>
    </row>
    <row r="78" spans="1:20" ht="26" customHeight="1">
      <c r="A78" s="957"/>
      <c r="B78" s="739" t="s">
        <v>126</v>
      </c>
      <c r="C78" s="740"/>
      <c r="D78" s="740"/>
      <c r="E78" s="740"/>
      <c r="F78" s="740"/>
      <c r="G78" s="741"/>
      <c r="H78" s="108">
        <f>SUM(H73:H77)</f>
        <v>0</v>
      </c>
      <c r="I78" s="97"/>
      <c r="J78" s="739" t="s">
        <v>126</v>
      </c>
      <c r="K78" s="740"/>
      <c r="L78" s="740"/>
      <c r="M78" s="740"/>
      <c r="N78" s="740"/>
      <c r="O78" s="741"/>
      <c r="P78" s="87">
        <f>SUM(P73:P77)</f>
        <v>0</v>
      </c>
      <c r="R78" s="167">
        <v>59</v>
      </c>
      <c r="T78" s="167">
        <v>59</v>
      </c>
    </row>
    <row r="79" spans="1:20" ht="25" customHeight="1">
      <c r="A79" s="957"/>
      <c r="B79" s="893" t="s">
        <v>131</v>
      </c>
      <c r="C79" s="894"/>
      <c r="D79" s="894"/>
      <c r="E79" s="894"/>
      <c r="F79" s="894"/>
      <c r="G79" s="895"/>
      <c r="H79" s="110">
        <f>H62+H78+H70</f>
        <v>0</v>
      </c>
      <c r="I79" s="97"/>
      <c r="J79" s="893" t="s">
        <v>131</v>
      </c>
      <c r="K79" s="894"/>
      <c r="L79" s="894"/>
      <c r="M79" s="894"/>
      <c r="N79" s="894"/>
      <c r="O79" s="895"/>
      <c r="P79" s="58">
        <f>SUM(P62+P78)+P70</f>
        <v>0</v>
      </c>
      <c r="R79" s="167"/>
      <c r="T79" s="167"/>
    </row>
    <row r="80" spans="1:20" ht="27" customHeight="1">
      <c r="A80" s="957"/>
      <c r="B80" s="737" t="s">
        <v>113</v>
      </c>
      <c r="C80" s="738"/>
      <c r="D80" s="738"/>
      <c r="E80" s="738"/>
      <c r="F80" s="738"/>
      <c r="G80" s="738"/>
      <c r="H80" s="110">
        <f>H79+P79</f>
        <v>0</v>
      </c>
    </row>
    <row r="81" spans="1:11" ht="106" customHeight="1">
      <c r="A81" s="959"/>
      <c r="B81" s="1002" t="s">
        <v>321</v>
      </c>
      <c r="C81" s="1003"/>
      <c r="D81" s="1003"/>
      <c r="E81" s="1003"/>
      <c r="F81" s="1003"/>
      <c r="G81" s="1003"/>
      <c r="H81" s="1004"/>
      <c r="K81" t="str">
        <f>T(D59)</f>
        <v/>
      </c>
    </row>
    <row r="82" spans="1:11" ht="19" customHeight="1">
      <c r="D82" s="1"/>
    </row>
    <row r="83" spans="1:11" ht="29" customHeight="1">
      <c r="A83" s="699">
        <v>4</v>
      </c>
      <c r="B83" s="702" t="s">
        <v>115</v>
      </c>
      <c r="C83" s="703"/>
      <c r="D83" s="703"/>
      <c r="E83" s="703"/>
      <c r="F83" s="703"/>
      <c r="G83" s="703"/>
      <c r="H83" s="704"/>
    </row>
    <row r="84" spans="1:11" ht="26" customHeight="1">
      <c r="A84" s="700"/>
      <c r="B84" s="660" t="s">
        <v>333</v>
      </c>
      <c r="C84" s="661"/>
      <c r="D84" s="661"/>
      <c r="E84" s="661"/>
      <c r="F84" s="661"/>
      <c r="G84" s="661"/>
      <c r="H84" s="662"/>
    </row>
    <row r="85" spans="1:11" ht="23" customHeight="1">
      <c r="A85" s="700"/>
      <c r="B85" s="708" t="str">
        <f>"Planlagte arbejdsdage uden undervisning. Evt. planlægningsdage, evalueringsdage, kurser/efteruddannelse mm. (Hvis brug for flere rækker - kan disse indsættes imellem række "&amp;$J$88&amp;-$J$92&amp;""</f>
        <v>Planlagte arbejdsdage uden undervisning. Evt. planlægningsdage, evalueringsdage, kurser/efteruddannelse mm. (Hvis brug for flere rækker - kan disse indsættes imellem række 88-92</v>
      </c>
      <c r="C85" s="709"/>
      <c r="D85" s="709"/>
      <c r="E85" s="709"/>
      <c r="F85" s="709"/>
      <c r="G85" s="709"/>
      <c r="H85" s="710"/>
    </row>
    <row r="86" spans="1:11" ht="10" customHeight="1">
      <c r="A86" s="700"/>
      <c r="B86" s="742"/>
      <c r="C86" s="743"/>
      <c r="D86" s="743"/>
      <c r="E86" s="743"/>
      <c r="F86" s="743"/>
      <c r="G86" s="743"/>
      <c r="H86" s="744"/>
    </row>
    <row r="87" spans="1:11" ht="27" customHeight="1">
      <c r="A87" s="700"/>
      <c r="B87" s="711" t="s">
        <v>132</v>
      </c>
      <c r="C87" s="712"/>
      <c r="D87" s="712"/>
      <c r="E87" s="713"/>
      <c r="F87" s="107" t="s">
        <v>35</v>
      </c>
      <c r="G87" s="111" t="s">
        <v>11</v>
      </c>
      <c r="H87" s="111" t="s">
        <v>36</v>
      </c>
      <c r="J87" s="81"/>
    </row>
    <row r="88" spans="1:11" ht="18" customHeight="1">
      <c r="A88" s="700"/>
      <c r="B88" s="715"/>
      <c r="C88" s="715"/>
      <c r="D88" s="715"/>
      <c r="E88" s="715"/>
      <c r="F88" s="38"/>
      <c r="G88" s="76"/>
      <c r="H88" s="52">
        <f>F88*G88</f>
        <v>0</v>
      </c>
      <c r="J88" s="81">
        <f>ROW(I88)</f>
        <v>88</v>
      </c>
    </row>
    <row r="89" spans="1:11" ht="18" customHeight="1">
      <c r="A89" s="700"/>
      <c r="B89" s="715"/>
      <c r="C89" s="715"/>
      <c r="D89" s="715"/>
      <c r="E89" s="715"/>
      <c r="F89" s="38"/>
      <c r="G89" s="76"/>
      <c r="H89" s="52">
        <f>F89*G89</f>
        <v>0</v>
      </c>
      <c r="J89" s="81"/>
    </row>
    <row r="90" spans="1:11" ht="18" customHeight="1">
      <c r="A90" s="700"/>
      <c r="B90" s="716"/>
      <c r="C90" s="716"/>
      <c r="D90" s="716"/>
      <c r="E90" s="716"/>
      <c r="F90" s="76"/>
      <c r="G90" s="76"/>
      <c r="H90" s="52">
        <f>F90*G90</f>
        <v>0</v>
      </c>
      <c r="J90" s="81"/>
    </row>
    <row r="91" spans="1:11" ht="18" customHeight="1">
      <c r="A91" s="700"/>
      <c r="B91" s="716"/>
      <c r="C91" s="716"/>
      <c r="D91" s="716"/>
      <c r="E91" s="716"/>
      <c r="F91" s="76"/>
      <c r="G91" s="76"/>
      <c r="H91" s="52">
        <f>F91*G91</f>
        <v>0</v>
      </c>
      <c r="J91" s="81"/>
    </row>
    <row r="92" spans="1:11" ht="18" customHeight="1">
      <c r="A92" s="700"/>
      <c r="B92" s="716"/>
      <c r="C92" s="716"/>
      <c r="D92" s="716"/>
      <c r="E92" s="716"/>
      <c r="F92" s="76"/>
      <c r="G92" s="76"/>
      <c r="H92" s="52">
        <f>F92*G92</f>
        <v>0</v>
      </c>
      <c r="J92" s="81">
        <f>ROW(I92)</f>
        <v>92</v>
      </c>
    </row>
    <row r="93" spans="1:11" ht="27" customHeight="1">
      <c r="A93" s="701"/>
      <c r="B93" s="749" t="s">
        <v>133</v>
      </c>
      <c r="C93" s="750"/>
      <c r="D93" s="750"/>
      <c r="E93" s="750"/>
      <c r="F93" s="750"/>
      <c r="G93" s="751"/>
      <c r="H93" s="52">
        <f>SUM(H88:H92)</f>
        <v>0</v>
      </c>
      <c r="J93" s="81"/>
    </row>
    <row r="94" spans="1:11">
      <c r="D94" s="1"/>
    </row>
    <row r="95" spans="1:11" ht="26.25" customHeight="1">
      <c r="A95" s="902">
        <v>5</v>
      </c>
      <c r="B95" s="810" t="s">
        <v>180</v>
      </c>
      <c r="C95" s="811"/>
      <c r="D95" s="811"/>
      <c r="E95" s="811"/>
      <c r="F95" s="811"/>
      <c r="G95" s="811"/>
      <c r="H95" s="812"/>
    </row>
    <row r="96" spans="1:11" ht="27" customHeight="1">
      <c r="A96" s="902"/>
      <c r="B96" s="813" t="s">
        <v>179</v>
      </c>
      <c r="C96" s="814"/>
      <c r="D96" s="814"/>
      <c r="E96" s="814"/>
      <c r="F96" s="814"/>
      <c r="G96" s="814"/>
      <c r="H96" s="815"/>
    </row>
    <row r="97" spans="1:12" ht="96" customHeight="1">
      <c r="A97" s="902"/>
      <c r="B97" s="816" t="s">
        <v>255</v>
      </c>
      <c r="C97" s="817"/>
      <c r="D97" s="817"/>
      <c r="E97" s="817"/>
      <c r="F97" s="817"/>
      <c r="G97" s="817"/>
      <c r="H97" s="818"/>
    </row>
    <row r="98" spans="1:12" ht="20" customHeight="1">
      <c r="A98" s="902"/>
      <c r="B98" s="675" t="str">
        <f>"(Hvis brug for flere rækker - kan disse indsættes imellem række "&amp;$J$100&amp;-$J$108&amp;")"</f>
        <v>(Hvis brug for flere rækker - kan disse indsættes imellem række 100-108)</v>
      </c>
      <c r="C98" s="676"/>
      <c r="D98" s="676"/>
      <c r="E98" s="676"/>
      <c r="F98" s="676"/>
      <c r="G98" s="676"/>
      <c r="H98" s="677"/>
    </row>
    <row r="99" spans="1:12" ht="27" customHeight="1">
      <c r="A99" s="902"/>
      <c r="B99" s="727" t="s">
        <v>134</v>
      </c>
      <c r="C99" s="728"/>
      <c r="D99" s="729"/>
      <c r="E99" s="104" t="s">
        <v>35</v>
      </c>
      <c r="F99" s="104" t="s">
        <v>39</v>
      </c>
      <c r="G99" s="105" t="s">
        <v>38</v>
      </c>
      <c r="H99" s="112" t="s">
        <v>36</v>
      </c>
    </row>
    <row r="100" spans="1:12" ht="18" customHeight="1">
      <c r="A100" s="902"/>
      <c r="B100" s="730"/>
      <c r="C100" s="730"/>
      <c r="D100" s="730"/>
      <c r="E100" s="38"/>
      <c r="F100" s="6"/>
      <c r="G100" s="4"/>
      <c r="H100" s="5">
        <f t="shared" ref="H100:H108" si="0">E100*F100+G100</f>
        <v>0</v>
      </c>
      <c r="J100" s="81">
        <f>ROW(I100)</f>
        <v>100</v>
      </c>
    </row>
    <row r="101" spans="1:12" ht="18" customHeight="1">
      <c r="A101" s="902"/>
      <c r="B101" s="726"/>
      <c r="C101" s="726"/>
      <c r="D101" s="726"/>
      <c r="E101" s="38"/>
      <c r="F101" s="6"/>
      <c r="G101" s="4"/>
      <c r="H101" s="5">
        <f t="shared" si="0"/>
        <v>0</v>
      </c>
      <c r="J101" s="81"/>
      <c r="L101" s="3"/>
    </row>
    <row r="102" spans="1:12" ht="18" customHeight="1">
      <c r="A102" s="902"/>
      <c r="B102" s="726"/>
      <c r="C102" s="726"/>
      <c r="D102" s="726"/>
      <c r="E102" s="38"/>
      <c r="F102" s="6"/>
      <c r="G102" s="4"/>
      <c r="H102" s="5">
        <f t="shared" si="0"/>
        <v>0</v>
      </c>
      <c r="J102" s="81"/>
    </row>
    <row r="103" spans="1:12" ht="18" customHeight="1">
      <c r="A103" s="902"/>
      <c r="B103" s="726"/>
      <c r="C103" s="726"/>
      <c r="D103" s="726"/>
      <c r="E103" s="38"/>
      <c r="F103" s="6"/>
      <c r="G103" s="4"/>
      <c r="H103" s="5">
        <f t="shared" si="0"/>
        <v>0</v>
      </c>
      <c r="J103" s="81"/>
    </row>
    <row r="104" spans="1:12" ht="18" customHeight="1">
      <c r="A104" s="902"/>
      <c r="B104" s="726"/>
      <c r="C104" s="726"/>
      <c r="D104" s="726"/>
      <c r="E104" s="59"/>
      <c r="F104" s="6"/>
      <c r="G104" s="4"/>
      <c r="H104" s="5">
        <f t="shared" si="0"/>
        <v>0</v>
      </c>
      <c r="J104" s="81"/>
    </row>
    <row r="105" spans="1:12" ht="18" customHeight="1">
      <c r="A105" s="902"/>
      <c r="B105" s="726"/>
      <c r="C105" s="726"/>
      <c r="D105" s="726"/>
      <c r="E105" s="59"/>
      <c r="F105" s="6"/>
      <c r="G105" s="4"/>
      <c r="H105" s="5">
        <f t="shared" si="0"/>
        <v>0</v>
      </c>
      <c r="J105" s="81"/>
    </row>
    <row r="106" spans="1:12" ht="18" customHeight="1">
      <c r="A106" s="902"/>
      <c r="B106" s="726"/>
      <c r="C106" s="726"/>
      <c r="D106" s="726"/>
      <c r="E106" s="59"/>
      <c r="F106" s="6"/>
      <c r="G106" s="4"/>
      <c r="H106" s="5">
        <f t="shared" si="0"/>
        <v>0</v>
      </c>
      <c r="J106" s="81"/>
    </row>
    <row r="107" spans="1:12" ht="18" customHeight="1">
      <c r="A107" s="902"/>
      <c r="B107" s="726"/>
      <c r="C107" s="726"/>
      <c r="D107" s="726"/>
      <c r="E107" s="59"/>
      <c r="F107" s="6"/>
      <c r="G107" s="4"/>
      <c r="H107" s="5">
        <f t="shared" si="0"/>
        <v>0</v>
      </c>
      <c r="J107" s="81"/>
    </row>
    <row r="108" spans="1:12" ht="18" customHeight="1">
      <c r="A108" s="902"/>
      <c r="B108" s="726"/>
      <c r="C108" s="726"/>
      <c r="D108" s="726"/>
      <c r="E108" s="38"/>
      <c r="F108" s="6"/>
      <c r="G108" s="4"/>
      <c r="H108" s="5">
        <f t="shared" si="0"/>
        <v>0</v>
      </c>
      <c r="J108" s="81">
        <f>ROW(I108)</f>
        <v>108</v>
      </c>
    </row>
    <row r="109" spans="1:12" ht="36" customHeight="1">
      <c r="A109" s="902"/>
      <c r="B109" s="651" t="s">
        <v>135</v>
      </c>
      <c r="C109" s="651"/>
      <c r="D109" s="651"/>
      <c r="E109" s="651"/>
      <c r="F109" s="85">
        <f>SUM(F100:F108)</f>
        <v>0</v>
      </c>
      <c r="G109" s="86">
        <f>COUNTIF(G100:G108,"&gt;0")</f>
        <v>0</v>
      </c>
      <c r="H109" s="5">
        <f>SUM(H100:H108)</f>
        <v>0</v>
      </c>
    </row>
    <row r="110" spans="1:12" ht="19" customHeight="1">
      <c r="A110" s="20"/>
      <c r="B110" s="13"/>
      <c r="C110" s="13"/>
      <c r="D110" s="13"/>
      <c r="E110" s="13"/>
      <c r="F110" s="9"/>
      <c r="G110" s="9"/>
      <c r="H110" s="9"/>
      <c r="I110" s="9"/>
      <c r="J110" s="9"/>
    </row>
    <row r="111" spans="1:12" ht="37" customHeight="1">
      <c r="A111" s="902">
        <v>6</v>
      </c>
      <c r="B111" s="654" t="s">
        <v>40</v>
      </c>
      <c r="C111" s="655"/>
      <c r="D111" s="655"/>
      <c r="E111" s="655"/>
      <c r="F111" s="655"/>
      <c r="G111" s="655"/>
      <c r="H111" s="655"/>
      <c r="I111" s="655"/>
      <c r="J111" s="655"/>
      <c r="K111" s="656"/>
      <c r="L111" s="32"/>
    </row>
    <row r="112" spans="1:12" ht="17" customHeight="1">
      <c r="A112" s="902"/>
      <c r="B112" s="657" t="s">
        <v>324</v>
      </c>
      <c r="C112" s="658"/>
      <c r="D112" s="658"/>
      <c r="E112" s="658"/>
      <c r="F112" s="658"/>
      <c r="G112" s="658"/>
      <c r="H112" s="658"/>
      <c r="I112" s="658"/>
      <c r="J112" s="658"/>
      <c r="K112" s="659"/>
      <c r="L112" s="32"/>
    </row>
    <row r="113" spans="1:19" ht="33" customHeight="1">
      <c r="A113" s="902"/>
      <c r="B113" s="666" t="s">
        <v>244</v>
      </c>
      <c r="C113" s="667"/>
      <c r="D113" s="667"/>
      <c r="E113" s="667"/>
      <c r="F113" s="667"/>
      <c r="G113" s="667"/>
      <c r="H113" s="667"/>
      <c r="I113" s="667"/>
      <c r="J113" s="667"/>
      <c r="K113" s="668"/>
    </row>
    <row r="114" spans="1:19" ht="37" customHeight="1">
      <c r="A114" s="902"/>
      <c r="B114" s="666" t="s">
        <v>377</v>
      </c>
      <c r="C114" s="667"/>
      <c r="D114" s="667"/>
      <c r="E114" s="667"/>
      <c r="F114" s="667"/>
      <c r="G114" s="667"/>
      <c r="H114" s="667"/>
      <c r="I114" s="667"/>
      <c r="J114" s="667"/>
      <c r="K114" s="668"/>
    </row>
    <row r="115" spans="1:19" ht="24" customHeight="1">
      <c r="A115" s="902"/>
      <c r="B115" s="678" t="str">
        <f>"(Hvis brug for flere rækker - kan disse indsættes imellem række "&amp;S120&amp;-S149&amp;")"</f>
        <v>(Hvis brug for flere rækker - kan disse indsættes imellem række 120-149)</v>
      </c>
      <c r="C115" s="679"/>
      <c r="D115" s="679"/>
      <c r="E115" s="679"/>
      <c r="F115" s="679"/>
      <c r="G115" s="679"/>
      <c r="H115" s="679"/>
      <c r="I115" s="679"/>
      <c r="J115" s="679"/>
      <c r="K115" s="680"/>
    </row>
    <row r="116" spans="1:19" ht="116" customHeight="1">
      <c r="A116" s="902"/>
      <c r="B116" s="663" t="s">
        <v>181</v>
      </c>
      <c r="C116" s="664"/>
      <c r="D116" s="664"/>
      <c r="E116" s="664"/>
      <c r="F116" s="664"/>
      <c r="G116" s="665"/>
      <c r="H116" s="953" t="s">
        <v>122</v>
      </c>
      <c r="I116" s="954" t="s">
        <v>323</v>
      </c>
      <c r="J116" s="669" t="s">
        <v>336</v>
      </c>
      <c r="K116" s="670"/>
    </row>
    <row r="117" spans="1:19" ht="24" customHeight="1">
      <c r="A117" s="902"/>
      <c r="B117" s="940" t="s">
        <v>43</v>
      </c>
      <c r="C117" s="941"/>
      <c r="D117" s="942"/>
      <c r="E117" s="192" t="s">
        <v>44</v>
      </c>
      <c r="F117" s="192" t="s">
        <v>45</v>
      </c>
      <c r="G117" s="192" t="s">
        <v>46</v>
      </c>
      <c r="H117" s="953"/>
      <c r="I117" s="954"/>
      <c r="J117" s="671" t="s">
        <v>176</v>
      </c>
      <c r="K117" s="672"/>
      <c r="L117" s="32"/>
    </row>
    <row r="118" spans="1:19" ht="117" customHeight="1">
      <c r="A118" s="902"/>
      <c r="B118" s="819" t="s">
        <v>245</v>
      </c>
      <c r="C118" s="820"/>
      <c r="D118" s="821"/>
      <c r="E118" s="910" t="s">
        <v>258</v>
      </c>
      <c r="F118" s="955" t="s">
        <v>322</v>
      </c>
      <c r="G118" s="652" t="s">
        <v>11</v>
      </c>
      <c r="H118" s="953"/>
      <c r="I118" s="954"/>
      <c r="J118" s="323" t="s">
        <v>151</v>
      </c>
      <c r="K118" s="323" t="s">
        <v>376</v>
      </c>
      <c r="L118" s="32"/>
    </row>
    <row r="119" spans="1:19" ht="69" customHeight="1">
      <c r="A119" s="902"/>
      <c r="B119" s="822"/>
      <c r="C119" s="823"/>
      <c r="D119" s="824"/>
      <c r="E119" s="911"/>
      <c r="F119" s="955"/>
      <c r="G119" s="653"/>
      <c r="H119" s="953"/>
      <c r="I119" s="954"/>
      <c r="J119" s="673" t="s">
        <v>260</v>
      </c>
      <c r="K119" s="674"/>
      <c r="L119" s="32"/>
    </row>
    <row r="120" spans="1:19" ht="18" customHeight="1">
      <c r="A120" s="902"/>
      <c r="B120" s="924"/>
      <c r="C120" s="925"/>
      <c r="D120" s="926"/>
      <c r="E120" s="6"/>
      <c r="F120" s="189"/>
      <c r="G120" s="4"/>
      <c r="H120" s="194">
        <f t="shared" ref="H120:H149" si="1">E120*G120</f>
        <v>0</v>
      </c>
      <c r="I120" s="5">
        <f t="shared" ref="I120:I149" si="2">F120*25%*G120</f>
        <v>0</v>
      </c>
      <c r="J120" s="39"/>
      <c r="K120" s="39"/>
      <c r="L120" s="754" t="str">
        <f>IF(AND(H120&gt;0,LEN(CONCATENATE(J120,K120,))&lt;&gt;1),"OBS der SKAL sættes  ét kryds","")</f>
        <v/>
      </c>
      <c r="M120" s="755"/>
      <c r="O120" s="81" t="s">
        <v>41</v>
      </c>
      <c r="S120" s="81">
        <f>ROW(S120)</f>
        <v>120</v>
      </c>
    </row>
    <row r="121" spans="1:19" ht="18" customHeight="1">
      <c r="A121" s="902"/>
      <c r="B121" s="756"/>
      <c r="C121" s="757"/>
      <c r="D121" s="758"/>
      <c r="E121" s="6"/>
      <c r="F121" s="189"/>
      <c r="G121" s="4"/>
      <c r="H121" s="194">
        <f t="shared" si="1"/>
        <v>0</v>
      </c>
      <c r="I121" s="5">
        <f t="shared" si="2"/>
        <v>0</v>
      </c>
      <c r="J121" s="39"/>
      <c r="K121" s="39"/>
      <c r="L121" s="754" t="str">
        <f t="shared" ref="L121:L149" si="3">IF(AND(H121&gt;0,LEN(CONCATENATE(J121,K121,))&lt;&gt;1),"OBS der SKAL sættes  ét kryds","")</f>
        <v/>
      </c>
      <c r="M121" s="755"/>
      <c r="S121" s="81"/>
    </row>
    <row r="122" spans="1:19" ht="18" customHeight="1">
      <c r="A122" s="902"/>
      <c r="B122" s="756"/>
      <c r="C122" s="757"/>
      <c r="D122" s="758"/>
      <c r="E122" s="6"/>
      <c r="F122" s="189"/>
      <c r="G122" s="4"/>
      <c r="H122" s="194">
        <f t="shared" si="1"/>
        <v>0</v>
      </c>
      <c r="I122" s="5">
        <f t="shared" si="2"/>
        <v>0</v>
      </c>
      <c r="J122" s="39"/>
      <c r="K122" s="39"/>
      <c r="L122" s="754" t="str">
        <f t="shared" si="3"/>
        <v/>
      </c>
      <c r="M122" s="755"/>
      <c r="S122" s="81"/>
    </row>
    <row r="123" spans="1:19" ht="18" customHeight="1">
      <c r="A123" s="902"/>
      <c r="B123" s="730"/>
      <c r="C123" s="730"/>
      <c r="D123" s="730"/>
      <c r="E123" s="6"/>
      <c r="F123" s="189"/>
      <c r="G123" s="4"/>
      <c r="H123" s="493">
        <f t="shared" si="1"/>
        <v>0</v>
      </c>
      <c r="I123" s="5">
        <f t="shared" si="2"/>
        <v>0</v>
      </c>
      <c r="J123" s="39"/>
      <c r="K123" s="39"/>
      <c r="L123" s="754" t="str">
        <f t="shared" si="3"/>
        <v/>
      </c>
      <c r="M123" s="755"/>
      <c r="S123" s="81"/>
    </row>
    <row r="124" spans="1:19" ht="18" customHeight="1">
      <c r="A124" s="902"/>
      <c r="B124" s="756"/>
      <c r="C124" s="757"/>
      <c r="D124" s="758"/>
      <c r="E124" s="6"/>
      <c r="F124" s="189"/>
      <c r="G124" s="4"/>
      <c r="H124" s="194">
        <f t="shared" si="1"/>
        <v>0</v>
      </c>
      <c r="I124" s="5">
        <f t="shared" si="2"/>
        <v>0</v>
      </c>
      <c r="J124" s="39"/>
      <c r="K124" s="39"/>
      <c r="L124" s="754" t="str">
        <f t="shared" si="3"/>
        <v/>
      </c>
      <c r="M124" s="755"/>
      <c r="S124" s="81"/>
    </row>
    <row r="125" spans="1:19" ht="18" customHeight="1">
      <c r="A125" s="902"/>
      <c r="B125" s="756"/>
      <c r="C125" s="757"/>
      <c r="D125" s="758"/>
      <c r="E125" s="6"/>
      <c r="F125" s="189"/>
      <c r="G125" s="4"/>
      <c r="H125" s="194">
        <f t="shared" si="1"/>
        <v>0</v>
      </c>
      <c r="I125" s="5">
        <f t="shared" si="2"/>
        <v>0</v>
      </c>
      <c r="J125" s="39"/>
      <c r="K125" s="39"/>
      <c r="L125" s="754" t="str">
        <f t="shared" si="3"/>
        <v/>
      </c>
      <c r="M125" s="755"/>
      <c r="S125" s="81"/>
    </row>
    <row r="126" spans="1:19" ht="18" customHeight="1">
      <c r="A126" s="902"/>
      <c r="B126" s="759"/>
      <c r="C126" s="760"/>
      <c r="D126" s="761"/>
      <c r="E126" s="6"/>
      <c r="F126" s="189"/>
      <c r="G126" s="4"/>
      <c r="H126" s="194">
        <f t="shared" si="1"/>
        <v>0</v>
      </c>
      <c r="I126" s="5">
        <f t="shared" si="2"/>
        <v>0</v>
      </c>
      <c r="J126" s="39"/>
      <c r="K126" s="39"/>
      <c r="L126" s="754" t="str">
        <f t="shared" si="3"/>
        <v/>
      </c>
      <c r="M126" s="755"/>
      <c r="S126" s="81"/>
    </row>
    <row r="127" spans="1:19" ht="18" customHeight="1">
      <c r="A127" s="902"/>
      <c r="B127" s="756"/>
      <c r="C127" s="757"/>
      <c r="D127" s="758"/>
      <c r="E127" s="6"/>
      <c r="F127" s="189"/>
      <c r="G127" s="4"/>
      <c r="H127" s="194">
        <f t="shared" si="1"/>
        <v>0</v>
      </c>
      <c r="I127" s="5">
        <f t="shared" si="2"/>
        <v>0</v>
      </c>
      <c r="J127" s="39"/>
      <c r="K127" s="39"/>
      <c r="L127" s="754" t="str">
        <f t="shared" si="3"/>
        <v/>
      </c>
      <c r="M127" s="755"/>
      <c r="S127" s="81"/>
    </row>
    <row r="128" spans="1:19" ht="18" customHeight="1">
      <c r="A128" s="902"/>
      <c r="B128" s="726"/>
      <c r="C128" s="726"/>
      <c r="D128" s="726"/>
      <c r="E128" s="6"/>
      <c r="F128" s="189"/>
      <c r="G128" s="4"/>
      <c r="H128" s="194">
        <f t="shared" si="1"/>
        <v>0</v>
      </c>
      <c r="I128" s="5">
        <f t="shared" si="2"/>
        <v>0</v>
      </c>
      <c r="J128" s="39"/>
      <c r="K128" s="39"/>
      <c r="L128" s="754" t="str">
        <f t="shared" si="3"/>
        <v/>
      </c>
      <c r="M128" s="755"/>
      <c r="S128" s="81"/>
    </row>
    <row r="129" spans="1:19" ht="18" customHeight="1">
      <c r="A129" s="902"/>
      <c r="B129" s="648"/>
      <c r="C129" s="649"/>
      <c r="D129" s="650"/>
      <c r="E129" s="6"/>
      <c r="F129" s="189"/>
      <c r="G129" s="4"/>
      <c r="H129" s="493">
        <f>E129*G129</f>
        <v>0</v>
      </c>
      <c r="I129" s="5">
        <f>F129*25%*G129</f>
        <v>0</v>
      </c>
      <c r="J129" s="39"/>
      <c r="K129" s="39"/>
      <c r="L129" s="754" t="str">
        <f t="shared" si="3"/>
        <v/>
      </c>
      <c r="M129" s="755"/>
      <c r="S129" s="81"/>
    </row>
    <row r="130" spans="1:19" ht="18" customHeight="1">
      <c r="A130" s="902"/>
      <c r="B130" s="648"/>
      <c r="C130" s="649"/>
      <c r="D130" s="650"/>
      <c r="E130" s="6"/>
      <c r="F130" s="189"/>
      <c r="G130" s="4"/>
      <c r="H130" s="493">
        <f t="shared" si="1"/>
        <v>0</v>
      </c>
      <c r="I130" s="5">
        <f t="shared" si="2"/>
        <v>0</v>
      </c>
      <c r="J130" s="39"/>
      <c r="K130" s="39"/>
      <c r="L130" s="754" t="str">
        <f t="shared" si="3"/>
        <v/>
      </c>
      <c r="M130" s="755"/>
      <c r="S130" s="81"/>
    </row>
    <row r="131" spans="1:19" ht="18" customHeight="1">
      <c r="A131" s="902"/>
      <c r="B131" s="648"/>
      <c r="C131" s="649"/>
      <c r="D131" s="650"/>
      <c r="E131" s="6"/>
      <c r="F131" s="189"/>
      <c r="G131" s="4"/>
      <c r="H131" s="493">
        <f t="shared" si="1"/>
        <v>0</v>
      </c>
      <c r="I131" s="5">
        <f t="shared" si="2"/>
        <v>0</v>
      </c>
      <c r="J131" s="39"/>
      <c r="K131" s="39"/>
      <c r="L131" s="754" t="str">
        <f t="shared" si="3"/>
        <v/>
      </c>
      <c r="M131" s="755"/>
      <c r="S131" s="81"/>
    </row>
    <row r="132" spans="1:19" ht="18" customHeight="1">
      <c r="A132" s="902"/>
      <c r="B132" s="648"/>
      <c r="C132" s="649"/>
      <c r="D132" s="650"/>
      <c r="E132" s="6"/>
      <c r="F132" s="189"/>
      <c r="G132" s="4"/>
      <c r="H132" s="493">
        <f t="shared" si="1"/>
        <v>0</v>
      </c>
      <c r="I132" s="5">
        <f t="shared" si="2"/>
        <v>0</v>
      </c>
      <c r="J132" s="39"/>
      <c r="K132" s="39"/>
      <c r="L132" s="754" t="str">
        <f t="shared" si="3"/>
        <v/>
      </c>
      <c r="M132" s="755"/>
      <c r="S132" s="81"/>
    </row>
    <row r="133" spans="1:19" ht="18" customHeight="1">
      <c r="A133" s="902"/>
      <c r="B133" s="648"/>
      <c r="C133" s="649"/>
      <c r="D133" s="650"/>
      <c r="E133" s="6"/>
      <c r="F133" s="189"/>
      <c r="G133" s="4"/>
      <c r="H133" s="493">
        <f t="shared" si="1"/>
        <v>0</v>
      </c>
      <c r="I133" s="5">
        <f t="shared" si="2"/>
        <v>0</v>
      </c>
      <c r="J133" s="39"/>
      <c r="K133" s="39"/>
      <c r="L133" s="754" t="str">
        <f t="shared" si="3"/>
        <v/>
      </c>
      <c r="M133" s="755"/>
      <c r="S133" s="81"/>
    </row>
    <row r="134" spans="1:19" ht="18" customHeight="1">
      <c r="A134" s="902"/>
      <c r="B134" s="648"/>
      <c r="C134" s="649"/>
      <c r="D134" s="650"/>
      <c r="E134" s="6"/>
      <c r="F134" s="189"/>
      <c r="G134" s="4"/>
      <c r="H134" s="493">
        <f t="shared" si="1"/>
        <v>0</v>
      </c>
      <c r="I134" s="5">
        <f t="shared" si="2"/>
        <v>0</v>
      </c>
      <c r="J134" s="39"/>
      <c r="K134" s="39"/>
      <c r="L134" s="754" t="str">
        <f t="shared" si="3"/>
        <v/>
      </c>
      <c r="M134" s="755"/>
      <c r="S134" s="81"/>
    </row>
    <row r="135" spans="1:19" ht="18" customHeight="1">
      <c r="A135" s="902"/>
      <c r="B135" s="648"/>
      <c r="C135" s="649"/>
      <c r="D135" s="650"/>
      <c r="E135" s="6"/>
      <c r="F135" s="189"/>
      <c r="G135" s="4"/>
      <c r="H135" s="194">
        <f t="shared" si="1"/>
        <v>0</v>
      </c>
      <c r="I135" s="5">
        <f t="shared" si="2"/>
        <v>0</v>
      </c>
      <c r="J135" s="39"/>
      <c r="K135" s="39"/>
      <c r="L135" s="754" t="str">
        <f t="shared" si="3"/>
        <v/>
      </c>
      <c r="M135" s="755"/>
      <c r="S135" s="81"/>
    </row>
    <row r="136" spans="1:19" ht="18" customHeight="1">
      <c r="A136" s="902"/>
      <c r="B136" s="648"/>
      <c r="C136" s="649"/>
      <c r="D136" s="650"/>
      <c r="E136" s="6"/>
      <c r="F136" s="189"/>
      <c r="G136" s="4"/>
      <c r="H136" s="194">
        <f t="shared" si="1"/>
        <v>0</v>
      </c>
      <c r="I136" s="5">
        <f t="shared" si="2"/>
        <v>0</v>
      </c>
      <c r="J136" s="39"/>
      <c r="K136" s="39"/>
      <c r="L136" s="754" t="str">
        <f t="shared" si="3"/>
        <v/>
      </c>
      <c r="M136" s="755"/>
      <c r="S136" s="81"/>
    </row>
    <row r="137" spans="1:19" ht="18" customHeight="1">
      <c r="A137" s="902"/>
      <c r="B137" s="648"/>
      <c r="C137" s="649"/>
      <c r="D137" s="650"/>
      <c r="E137" s="6"/>
      <c r="F137" s="189"/>
      <c r="G137" s="4"/>
      <c r="H137" s="194">
        <f t="shared" si="1"/>
        <v>0</v>
      </c>
      <c r="I137" s="5">
        <f t="shared" si="2"/>
        <v>0</v>
      </c>
      <c r="J137" s="39"/>
      <c r="K137" s="39"/>
      <c r="L137" s="754" t="str">
        <f t="shared" si="3"/>
        <v/>
      </c>
      <c r="M137" s="755"/>
      <c r="S137" s="81"/>
    </row>
    <row r="138" spans="1:19" ht="18" customHeight="1">
      <c r="A138" s="902"/>
      <c r="B138" s="648"/>
      <c r="C138" s="649"/>
      <c r="D138" s="650"/>
      <c r="E138" s="6"/>
      <c r="F138" s="189"/>
      <c r="G138" s="4"/>
      <c r="H138" s="194">
        <f t="shared" si="1"/>
        <v>0</v>
      </c>
      <c r="I138" s="5">
        <f t="shared" si="2"/>
        <v>0</v>
      </c>
      <c r="J138" s="39"/>
      <c r="K138" s="39"/>
      <c r="L138" s="754" t="str">
        <f t="shared" si="3"/>
        <v/>
      </c>
      <c r="M138" s="755"/>
      <c r="S138" s="81"/>
    </row>
    <row r="139" spans="1:19" ht="18" customHeight="1">
      <c r="A139" s="902"/>
      <c r="B139" s="648"/>
      <c r="C139" s="649"/>
      <c r="D139" s="650"/>
      <c r="E139" s="6"/>
      <c r="F139" s="189"/>
      <c r="G139" s="4"/>
      <c r="H139" s="493">
        <f t="shared" si="1"/>
        <v>0</v>
      </c>
      <c r="I139" s="5">
        <f t="shared" si="2"/>
        <v>0</v>
      </c>
      <c r="J139" s="39"/>
      <c r="K139" s="39"/>
      <c r="L139" s="754" t="str">
        <f t="shared" si="3"/>
        <v/>
      </c>
      <c r="M139" s="755"/>
      <c r="S139" s="81"/>
    </row>
    <row r="140" spans="1:19" ht="18" customHeight="1">
      <c r="A140" s="902"/>
      <c r="B140" s="648"/>
      <c r="C140" s="649"/>
      <c r="D140" s="650"/>
      <c r="E140" s="6"/>
      <c r="F140" s="189"/>
      <c r="G140" s="4"/>
      <c r="H140" s="493">
        <f t="shared" si="1"/>
        <v>0</v>
      </c>
      <c r="I140" s="5">
        <f t="shared" si="2"/>
        <v>0</v>
      </c>
      <c r="J140" s="39"/>
      <c r="K140" s="39"/>
      <c r="L140" s="754" t="str">
        <f t="shared" si="3"/>
        <v/>
      </c>
      <c r="M140" s="755"/>
      <c r="S140" s="81"/>
    </row>
    <row r="141" spans="1:19" ht="18" customHeight="1">
      <c r="A141" s="902"/>
      <c r="B141" s="648"/>
      <c r="C141" s="649"/>
      <c r="D141" s="650"/>
      <c r="E141" s="6"/>
      <c r="F141" s="189"/>
      <c r="G141" s="4"/>
      <c r="H141" s="493">
        <f t="shared" si="1"/>
        <v>0</v>
      </c>
      <c r="I141" s="5">
        <f t="shared" si="2"/>
        <v>0</v>
      </c>
      <c r="J141" s="39"/>
      <c r="K141" s="39"/>
      <c r="L141" s="754" t="str">
        <f t="shared" si="3"/>
        <v/>
      </c>
      <c r="M141" s="755"/>
      <c r="S141" s="81"/>
    </row>
    <row r="142" spans="1:19" ht="18" customHeight="1">
      <c r="A142" s="902"/>
      <c r="B142" s="648"/>
      <c r="C142" s="649"/>
      <c r="D142" s="650"/>
      <c r="E142" s="6"/>
      <c r="F142" s="189"/>
      <c r="G142" s="4"/>
      <c r="H142" s="493">
        <f t="shared" si="1"/>
        <v>0</v>
      </c>
      <c r="I142" s="5">
        <f t="shared" si="2"/>
        <v>0</v>
      </c>
      <c r="J142" s="39"/>
      <c r="K142" s="39"/>
      <c r="L142" s="754" t="str">
        <f t="shared" si="3"/>
        <v/>
      </c>
      <c r="M142" s="755"/>
      <c r="S142" s="81"/>
    </row>
    <row r="143" spans="1:19" ht="18" customHeight="1">
      <c r="A143" s="902"/>
      <c r="B143" s="648"/>
      <c r="C143" s="649"/>
      <c r="D143" s="650"/>
      <c r="E143" s="6"/>
      <c r="F143" s="189"/>
      <c r="G143" s="4"/>
      <c r="H143" s="493">
        <f t="shared" si="1"/>
        <v>0</v>
      </c>
      <c r="I143" s="5">
        <f t="shared" si="2"/>
        <v>0</v>
      </c>
      <c r="J143" s="39"/>
      <c r="K143" s="39"/>
      <c r="L143" s="754" t="str">
        <f t="shared" si="3"/>
        <v/>
      </c>
      <c r="M143" s="755"/>
      <c r="S143" s="81"/>
    </row>
    <row r="144" spans="1:19" ht="18" customHeight="1">
      <c r="A144" s="902"/>
      <c r="B144" s="648"/>
      <c r="C144" s="649"/>
      <c r="D144" s="650"/>
      <c r="E144" s="6"/>
      <c r="F144" s="189"/>
      <c r="G144" s="4"/>
      <c r="H144" s="493">
        <f t="shared" si="1"/>
        <v>0</v>
      </c>
      <c r="I144" s="5">
        <f t="shared" si="2"/>
        <v>0</v>
      </c>
      <c r="J144" s="39"/>
      <c r="K144" s="39"/>
      <c r="L144" s="754" t="str">
        <f t="shared" si="3"/>
        <v/>
      </c>
      <c r="M144" s="755"/>
      <c r="S144" s="81"/>
    </row>
    <row r="145" spans="1:19" ht="18" customHeight="1">
      <c r="A145" s="902"/>
      <c r="B145" s="648"/>
      <c r="C145" s="649"/>
      <c r="D145" s="650"/>
      <c r="E145" s="6"/>
      <c r="F145" s="189"/>
      <c r="G145" s="4"/>
      <c r="H145" s="493">
        <f t="shared" si="1"/>
        <v>0</v>
      </c>
      <c r="I145" s="5">
        <f t="shared" si="2"/>
        <v>0</v>
      </c>
      <c r="J145" s="39"/>
      <c r="K145" s="39"/>
      <c r="L145" s="754" t="str">
        <f t="shared" si="3"/>
        <v/>
      </c>
      <c r="M145" s="755"/>
      <c r="S145" s="81"/>
    </row>
    <row r="146" spans="1:19" ht="18" customHeight="1">
      <c r="A146" s="902"/>
      <c r="B146" s="648"/>
      <c r="C146" s="649"/>
      <c r="D146" s="650"/>
      <c r="E146" s="6"/>
      <c r="F146" s="189"/>
      <c r="G146" s="4"/>
      <c r="H146" s="493">
        <f t="shared" si="1"/>
        <v>0</v>
      </c>
      <c r="I146" s="5">
        <f t="shared" si="2"/>
        <v>0</v>
      </c>
      <c r="J146" s="39"/>
      <c r="K146" s="39"/>
      <c r="L146" s="754" t="str">
        <f t="shared" si="3"/>
        <v/>
      </c>
      <c r="M146" s="755"/>
      <c r="S146" s="81"/>
    </row>
    <row r="147" spans="1:19" ht="18" customHeight="1">
      <c r="A147" s="902"/>
      <c r="B147" s="648"/>
      <c r="C147" s="649"/>
      <c r="D147" s="650"/>
      <c r="E147" s="6"/>
      <c r="F147" s="189"/>
      <c r="G147" s="4"/>
      <c r="H147" s="493">
        <f t="shared" si="1"/>
        <v>0</v>
      </c>
      <c r="I147" s="5">
        <f t="shared" si="2"/>
        <v>0</v>
      </c>
      <c r="J147" s="39"/>
      <c r="K147" s="39"/>
      <c r="L147" s="754" t="str">
        <f t="shared" si="3"/>
        <v/>
      </c>
      <c r="M147" s="755"/>
      <c r="S147" s="81"/>
    </row>
    <row r="148" spans="1:19" ht="18" customHeight="1">
      <c r="A148" s="902"/>
      <c r="B148" s="648"/>
      <c r="C148" s="649"/>
      <c r="D148" s="650"/>
      <c r="E148" s="6"/>
      <c r="F148" s="189"/>
      <c r="G148" s="4"/>
      <c r="H148" s="493">
        <f t="shared" si="1"/>
        <v>0</v>
      </c>
      <c r="I148" s="5">
        <f t="shared" si="2"/>
        <v>0</v>
      </c>
      <c r="J148" s="39"/>
      <c r="K148" s="39"/>
      <c r="L148" s="754" t="str">
        <f t="shared" si="3"/>
        <v/>
      </c>
      <c r="M148" s="755"/>
      <c r="S148" s="81"/>
    </row>
    <row r="149" spans="1:19" ht="18" customHeight="1">
      <c r="A149" s="902"/>
      <c r="B149" s="648"/>
      <c r="C149" s="649"/>
      <c r="D149" s="650"/>
      <c r="E149" s="6"/>
      <c r="F149" s="189"/>
      <c r="G149" s="4"/>
      <c r="H149" s="194">
        <f t="shared" si="1"/>
        <v>0</v>
      </c>
      <c r="I149" s="5">
        <f t="shared" si="2"/>
        <v>0</v>
      </c>
      <c r="J149" s="39"/>
      <c r="K149" s="39"/>
      <c r="L149" s="754" t="str">
        <f t="shared" si="3"/>
        <v/>
      </c>
      <c r="M149" s="755"/>
      <c r="S149" s="81">
        <f>ROW(P149)</f>
        <v>149</v>
      </c>
    </row>
    <row r="150" spans="1:19" ht="17" customHeight="1">
      <c r="A150" s="902"/>
      <c r="B150" s="180" t="s">
        <v>1</v>
      </c>
      <c r="C150" s="181"/>
      <c r="D150" s="181"/>
      <c r="E150" s="181"/>
      <c r="F150" s="182"/>
      <c r="G150" s="182"/>
      <c r="H150" s="5">
        <f>SUM(H120:H149)</f>
        <v>0</v>
      </c>
      <c r="I150" s="5">
        <f>SUM(I120:I149)</f>
        <v>0</v>
      </c>
      <c r="J150" s="5">
        <f>IF(J120&lt;&gt;0,$I$120)+IF(J121&lt;&gt;0,$I$121)+IF(J122&lt;&gt;0,$I$122)+IF(J124&lt;&gt;0,$I$124)+IF(J125&lt;&gt;0,$I$125)+IF(J126&lt;&gt;0,$I$126)+IF(J127&lt;&gt;0,$I$127)+IF(J128&lt;&gt;0,$I$128)+IF(J135&lt;&gt;0,$I$135)+IF(J136&lt;&gt;0,$I$136)+IF(J137&lt;&gt;0,$I$137)+IF(J138&lt;&gt;0,$I$138)+IF(J149&lt;&gt;0,$I$149)+IF(J123&lt;&gt;0,$I$123)+IF(J129&lt;&gt;0,$I$129)+IF(J130&lt;&gt;0,$I$130)+IF(J131&lt;&gt;0,$I$131)+IF(J132&lt;&gt;0,$I$132)+IF(J133&lt;&gt;0,$I$133)+IF(J134&lt;&gt;0,$I$134)+IF(J139&lt;&gt;0,$I$139)+IF(J140&lt;&gt;0,$I$140)+IF(J141&lt;&gt;0,$I$141)+IF(J142&lt;&gt;0,$I$142)+IF(J143&lt;&gt;0,$I$143)+IF(J144&lt;&gt;0,$I$144)+IF(J145&lt;&gt;0,$I$145)+IF(J146&lt;&gt;0,$I$146)+IF(J147&lt;&gt;0,$I$147)+IF(J148&lt;&gt;0,$I$148)</f>
        <v>0</v>
      </c>
      <c r="K150" s="5">
        <f>IF(K120&lt;&gt;0,$I$120)+IF(K121&lt;&gt;0,$I$121)+IF(K122&lt;&gt;0,$I$122)+IF(K124&lt;&gt;0,$I$124)+IF(K125&lt;&gt;0,$I$125)+IF(K126&lt;&gt;0,$I$126)+IF(K127&lt;&gt;0,$I$127)+IF(K128&lt;&gt;0,$I$128)+IF(K135&lt;&gt;0,$I$135)+IF(K136&lt;&gt;0,$I$136)+IF(K137&lt;&gt;0,$I$137)+IF(K138&lt;&gt;0,$I$138)+IF(K149&lt;&gt;0,$I$149)+IF(K123&lt;&gt;0,$I$123)+IF(K129&lt;&gt;0,$I$129)+IF(K130&lt;&gt;0,$I$130)+IF(K131&lt;&gt;0,$I$131)+IF(K132&lt;&gt;0,$I$132)+IF(K133&lt;&gt;0,$I$133)+IF(K134&lt;&gt;0,$I$134)+IF(K139&lt;&gt;0,$I$139)+IF(K140&lt;&gt;0,$I$140)+IF(K141&lt;&gt;0,$I$141)+IF(K142&lt;&gt;0,$I$142)+IF(K143&lt;&gt;0,$I$143)+IF(K144&lt;&gt;0,$I$144)+IF(K145&lt;&gt;0,$I$145)+IF(K146&lt;&gt;0,$I$146)+IF(K147&lt;&gt;0,$I$147)+IF(K148&lt;&gt;0,$I$148)</f>
        <v>0</v>
      </c>
      <c r="L150" s="32"/>
    </row>
    <row r="151" spans="1:19" ht="28" customHeight="1">
      <c r="A151" s="40"/>
      <c r="B151" s="10"/>
      <c r="C151" s="10"/>
      <c r="D151" s="10"/>
      <c r="E151" s="10"/>
      <c r="F151" s="9"/>
      <c r="G151" s="9"/>
      <c r="H151" s="9"/>
      <c r="I151" s="9"/>
      <c r="J151" s="9"/>
      <c r="K151" s="9"/>
      <c r="L151" s="9"/>
      <c r="M151" s="9"/>
      <c r="N151" s="32"/>
    </row>
    <row r="152" spans="1:19" ht="37" customHeight="1">
      <c r="A152" s="902">
        <v>7</v>
      </c>
      <c r="B152" s="654" t="s">
        <v>124</v>
      </c>
      <c r="C152" s="655"/>
      <c r="D152" s="655"/>
      <c r="E152" s="655"/>
      <c r="F152" s="655"/>
      <c r="G152" s="655"/>
      <c r="H152" s="655"/>
      <c r="I152" s="655"/>
      <c r="J152" s="655"/>
      <c r="K152" s="655"/>
      <c r="L152" s="655"/>
      <c r="M152" s="655"/>
      <c r="N152" s="655"/>
      <c r="O152" s="656"/>
    </row>
    <row r="153" spans="1:19" ht="28" customHeight="1">
      <c r="A153" s="902"/>
      <c r="B153" s="1012" t="s">
        <v>325</v>
      </c>
      <c r="C153" s="1013"/>
      <c r="D153" s="1013"/>
      <c r="E153" s="1013"/>
      <c r="F153" s="1013"/>
      <c r="G153" s="1013"/>
      <c r="H153" s="1013"/>
      <c r="I153" s="1013"/>
      <c r="J153" s="1013"/>
      <c r="K153" s="1013"/>
      <c r="L153" s="1013"/>
      <c r="M153" s="1013"/>
      <c r="N153" s="1013"/>
      <c r="O153" s="1014"/>
    </row>
    <row r="154" spans="1:19" ht="36" customHeight="1">
      <c r="A154" s="902"/>
      <c r="B154" s="766" t="s">
        <v>246</v>
      </c>
      <c r="C154" s="767"/>
      <c r="D154" s="767"/>
      <c r="E154" s="767"/>
      <c r="F154" s="767"/>
      <c r="G154" s="767"/>
      <c r="H154" s="767"/>
      <c r="I154" s="767"/>
      <c r="J154" s="767"/>
      <c r="K154" s="767"/>
      <c r="L154" s="767"/>
      <c r="M154" s="767"/>
      <c r="N154" s="767"/>
      <c r="O154" s="768"/>
    </row>
    <row r="155" spans="1:19" ht="26" customHeight="1">
      <c r="A155" s="902"/>
      <c r="B155" s="766" t="s">
        <v>327</v>
      </c>
      <c r="C155" s="767"/>
      <c r="D155" s="767"/>
      <c r="E155" s="767"/>
      <c r="F155" s="767"/>
      <c r="G155" s="767"/>
      <c r="H155" s="767"/>
      <c r="I155" s="767"/>
      <c r="J155" s="767"/>
      <c r="K155" s="767"/>
      <c r="L155" s="767"/>
      <c r="M155" s="767"/>
      <c r="N155" s="767"/>
      <c r="O155" s="768"/>
    </row>
    <row r="156" spans="1:19" ht="30" customHeight="1">
      <c r="A156" s="902"/>
      <c r="B156" s="766" t="s">
        <v>328</v>
      </c>
      <c r="C156" s="767"/>
      <c r="D156" s="767"/>
      <c r="E156" s="767"/>
      <c r="F156" s="767"/>
      <c r="G156" s="767"/>
      <c r="H156" s="767"/>
      <c r="I156" s="767"/>
      <c r="J156" s="767"/>
      <c r="K156" s="767"/>
      <c r="L156" s="767"/>
      <c r="M156" s="767"/>
      <c r="N156" s="767"/>
      <c r="O156" s="768"/>
    </row>
    <row r="157" spans="1:19" ht="31" customHeight="1">
      <c r="A157" s="902"/>
      <c r="B157" s="766" t="s">
        <v>326</v>
      </c>
      <c r="C157" s="767"/>
      <c r="D157" s="767"/>
      <c r="E157" s="767"/>
      <c r="F157" s="767"/>
      <c r="G157" s="767"/>
      <c r="H157" s="767"/>
      <c r="I157" s="767"/>
      <c r="J157" s="767"/>
      <c r="K157" s="767"/>
      <c r="L157" s="767"/>
      <c r="M157" s="767"/>
      <c r="N157" s="767"/>
      <c r="O157" s="768"/>
    </row>
    <row r="158" spans="1:19" ht="22" customHeight="1">
      <c r="A158" s="902"/>
      <c r="B158" s="766" t="s">
        <v>329</v>
      </c>
      <c r="C158" s="767"/>
      <c r="D158" s="767"/>
      <c r="E158" s="767"/>
      <c r="F158" s="767"/>
      <c r="G158" s="767"/>
      <c r="H158" s="767"/>
      <c r="I158" s="767"/>
      <c r="J158" s="767"/>
      <c r="K158" s="767"/>
      <c r="L158" s="767"/>
      <c r="M158" s="767"/>
      <c r="N158" s="767"/>
      <c r="O158" s="768"/>
    </row>
    <row r="159" spans="1:19" ht="69" customHeight="1">
      <c r="A159" s="902"/>
      <c r="B159" s="769" t="s">
        <v>378</v>
      </c>
      <c r="C159" s="770"/>
      <c r="D159" s="770"/>
      <c r="E159" s="770"/>
      <c r="F159" s="770"/>
      <c r="G159" s="770"/>
      <c r="H159" s="770"/>
      <c r="I159" s="770"/>
      <c r="J159" s="770"/>
      <c r="K159" s="770"/>
      <c r="L159" s="770"/>
      <c r="M159" s="770"/>
      <c r="N159" s="770"/>
      <c r="O159" s="771"/>
    </row>
    <row r="160" spans="1:19" ht="23" customHeight="1">
      <c r="A160" s="902"/>
      <c r="B160" s="769" t="s">
        <v>338</v>
      </c>
      <c r="C160" s="770"/>
      <c r="D160" s="770"/>
      <c r="E160" s="770"/>
      <c r="F160" s="770"/>
      <c r="G160" s="770"/>
      <c r="H160" s="770"/>
      <c r="I160" s="770"/>
      <c r="J160" s="770"/>
      <c r="K160" s="770"/>
      <c r="L160" s="770"/>
      <c r="M160" s="770"/>
      <c r="N160" s="770"/>
      <c r="O160" s="771"/>
    </row>
    <row r="161" spans="1:21" ht="24" customHeight="1">
      <c r="A161" s="902"/>
      <c r="B161" s="921" t="str">
        <f>"(Hvis brug for flere rækker - kan disse indsættes imellem række "&amp;S166&amp; - S182&amp;")"</f>
        <v>(Hvis brug for flere rækker - kan disse indsættes imellem række 166-182)</v>
      </c>
      <c r="C161" s="922"/>
      <c r="D161" s="922"/>
      <c r="E161" s="922"/>
      <c r="F161" s="922"/>
      <c r="G161" s="922"/>
      <c r="H161" s="922"/>
      <c r="I161" s="922"/>
      <c r="J161" s="922"/>
      <c r="K161" s="922"/>
      <c r="L161" s="922"/>
      <c r="M161" s="922"/>
      <c r="N161" s="922"/>
      <c r="O161" s="923"/>
    </row>
    <row r="162" spans="1:21" ht="129" customHeight="1">
      <c r="A162" s="902"/>
      <c r="B162" s="663" t="s">
        <v>339</v>
      </c>
      <c r="C162" s="990"/>
      <c r="D162" s="990"/>
      <c r="E162" s="990"/>
      <c r="F162" s="990"/>
      <c r="G162" s="990"/>
      <c r="H162" s="991"/>
      <c r="I162" s="314"/>
      <c r="J162" s="191" t="s">
        <v>248</v>
      </c>
      <c r="K162" s="317" t="s">
        <v>249</v>
      </c>
      <c r="L162" s="669" t="s">
        <v>254</v>
      </c>
      <c r="M162" s="670"/>
      <c r="N162" s="985" t="s">
        <v>337</v>
      </c>
      <c r="O162" s="986"/>
      <c r="Q162" s="81"/>
      <c r="R162" s="81" t="s">
        <v>41</v>
      </c>
    </row>
    <row r="163" spans="1:21" ht="24" customHeight="1">
      <c r="A163" s="902"/>
      <c r="B163" s="940" t="s">
        <v>43</v>
      </c>
      <c r="C163" s="941"/>
      <c r="D163" s="942"/>
      <c r="E163" s="188" t="s">
        <v>44</v>
      </c>
      <c r="F163" s="188" t="s">
        <v>45</v>
      </c>
      <c r="G163" s="188" t="s">
        <v>46</v>
      </c>
      <c r="H163" s="193" t="s">
        <v>176</v>
      </c>
      <c r="I163" s="315"/>
      <c r="J163" s="316">
        <v>0.5</v>
      </c>
      <c r="K163" s="316">
        <v>0.25</v>
      </c>
      <c r="L163" s="772" t="s">
        <v>247</v>
      </c>
      <c r="M163" s="773"/>
      <c r="N163" s="772" t="s">
        <v>251</v>
      </c>
      <c r="O163" s="773"/>
      <c r="Q163" s="81" t="s">
        <v>41</v>
      </c>
    </row>
    <row r="164" spans="1:21" ht="85.5" customHeight="1">
      <c r="A164" s="902"/>
      <c r="B164" s="819" t="s">
        <v>42</v>
      </c>
      <c r="C164" s="820"/>
      <c r="D164" s="821"/>
      <c r="E164" s="762" t="s">
        <v>253</v>
      </c>
      <c r="F164" s="939" t="s">
        <v>177</v>
      </c>
      <c r="G164" s="695" t="s">
        <v>11</v>
      </c>
      <c r="H164" s="695" t="s">
        <v>256</v>
      </c>
      <c r="I164" s="697" t="s">
        <v>368</v>
      </c>
      <c r="J164" s="764" t="s">
        <v>252</v>
      </c>
      <c r="K164" s="764" t="s">
        <v>250</v>
      </c>
      <c r="L164" s="190" t="s">
        <v>178</v>
      </c>
      <c r="M164" s="190" t="s">
        <v>380</v>
      </c>
      <c r="N164" s="190" t="s">
        <v>178</v>
      </c>
      <c r="O164" s="190" t="s">
        <v>380</v>
      </c>
      <c r="P164" s="319"/>
      <c r="Q164" s="319"/>
      <c r="R164" s="319"/>
      <c r="S164" s="319"/>
      <c r="T164" s="319"/>
      <c r="U164" s="319"/>
    </row>
    <row r="165" spans="1:21" ht="83" customHeight="1">
      <c r="A165" s="902"/>
      <c r="B165" s="822"/>
      <c r="C165" s="823"/>
      <c r="D165" s="824"/>
      <c r="E165" s="763"/>
      <c r="F165" s="939"/>
      <c r="G165" s="696"/>
      <c r="H165" s="984"/>
      <c r="I165" s="698"/>
      <c r="J165" s="765"/>
      <c r="K165" s="765"/>
      <c r="L165" s="673" t="s">
        <v>260</v>
      </c>
      <c r="M165" s="674"/>
      <c r="N165" s="673" t="s">
        <v>260</v>
      </c>
      <c r="O165" s="674"/>
      <c r="P165" s="319"/>
      <c r="Q165" s="319"/>
      <c r="R165" s="319"/>
      <c r="S165" s="319"/>
      <c r="T165" s="319"/>
      <c r="U165" s="319"/>
    </row>
    <row r="166" spans="1:21" ht="18" customHeight="1">
      <c r="A166" s="902"/>
      <c r="B166" s="924"/>
      <c r="C166" s="925"/>
      <c r="D166" s="926"/>
      <c r="E166" s="6"/>
      <c r="F166" s="189"/>
      <c r="G166" s="4"/>
      <c r="H166" s="195"/>
      <c r="I166" s="179">
        <f t="shared" ref="I166:I182" si="4">E166*G166</f>
        <v>0</v>
      </c>
      <c r="J166" s="318">
        <f t="shared" ref="J166:J182" si="5">IF(H166="x",0,(E166*G166)*50%)</f>
        <v>0</v>
      </c>
      <c r="K166" s="5">
        <f>F166*0.25*G166</f>
        <v>0</v>
      </c>
      <c r="L166" s="39"/>
      <c r="M166" s="39"/>
      <c r="N166" s="39"/>
      <c r="O166" s="39"/>
      <c r="P166" s="341" t="str">
        <f t="shared" ref="P166:P182" si="6">IF(AND(E166&gt;0,LEN(CONCATENATE(L166,M166,))&lt;&gt;1),"OBS der SKAL foretages ét valg i kolonne F","")</f>
        <v/>
      </c>
      <c r="Q166" s="319"/>
      <c r="R166" s="341" t="str">
        <f t="shared" ref="R166:R182" si="7">IF(AND(E166&gt;0,LEN(CONCATENATE(N166,O166,))&lt;&gt;1),"OBS der SKAL foretages ét valg i kolonne G","")</f>
        <v/>
      </c>
      <c r="S166" s="81">
        <f>ROW(P166)</f>
        <v>166</v>
      </c>
      <c r="T166" s="81"/>
      <c r="U166" s="319"/>
    </row>
    <row r="167" spans="1:21" ht="18" customHeight="1">
      <c r="A167" s="902"/>
      <c r="B167" s="648"/>
      <c r="C167" s="649"/>
      <c r="D167" s="650"/>
      <c r="E167" s="6"/>
      <c r="F167" s="189"/>
      <c r="G167" s="4"/>
      <c r="H167" s="195"/>
      <c r="I167" s="179">
        <f t="shared" si="4"/>
        <v>0</v>
      </c>
      <c r="J167" s="318">
        <f t="shared" si="5"/>
        <v>0</v>
      </c>
      <c r="K167" s="5">
        <f t="shared" ref="K167:K182" si="8">F167*0.25*G167</f>
        <v>0</v>
      </c>
      <c r="L167" s="39"/>
      <c r="M167" s="39"/>
      <c r="N167" s="39"/>
      <c r="O167" s="39"/>
      <c r="P167" s="752" t="str">
        <f t="shared" si="6"/>
        <v/>
      </c>
      <c r="Q167" s="753"/>
      <c r="R167" s="341" t="str">
        <f t="shared" si="7"/>
        <v/>
      </c>
      <c r="S167" s="81"/>
      <c r="T167" s="81"/>
      <c r="U167" s="319"/>
    </row>
    <row r="168" spans="1:21" ht="18" customHeight="1">
      <c r="A168" s="902"/>
      <c r="B168" s="648"/>
      <c r="C168" s="649"/>
      <c r="D168" s="650"/>
      <c r="E168" s="6"/>
      <c r="F168" s="189"/>
      <c r="G168" s="4"/>
      <c r="H168" s="195"/>
      <c r="I168" s="179">
        <f t="shared" si="4"/>
        <v>0</v>
      </c>
      <c r="J168" s="318">
        <f t="shared" si="5"/>
        <v>0</v>
      </c>
      <c r="K168" s="5">
        <f t="shared" si="8"/>
        <v>0</v>
      </c>
      <c r="L168" s="39"/>
      <c r="M168" s="39"/>
      <c r="N168" s="39"/>
      <c r="O168" s="39"/>
      <c r="P168" s="752" t="str">
        <f t="shared" si="6"/>
        <v/>
      </c>
      <c r="Q168" s="753"/>
      <c r="R168" s="341" t="str">
        <f t="shared" si="7"/>
        <v/>
      </c>
      <c r="S168" s="81"/>
      <c r="T168" s="81"/>
      <c r="U168" s="319"/>
    </row>
    <row r="169" spans="1:21" ht="18" customHeight="1">
      <c r="A169" s="902"/>
      <c r="B169" s="648"/>
      <c r="C169" s="649"/>
      <c r="D169" s="650"/>
      <c r="E169" s="6"/>
      <c r="F169" s="189"/>
      <c r="G169" s="4"/>
      <c r="H169" s="195"/>
      <c r="I169" s="179">
        <f t="shared" si="4"/>
        <v>0</v>
      </c>
      <c r="J169" s="318">
        <f t="shared" si="5"/>
        <v>0</v>
      </c>
      <c r="K169" s="5">
        <f t="shared" si="8"/>
        <v>0</v>
      </c>
      <c r="L169" s="39"/>
      <c r="M169" s="39"/>
      <c r="N169" s="39"/>
      <c r="O169" s="39"/>
      <c r="P169" s="752" t="str">
        <f t="shared" si="6"/>
        <v/>
      </c>
      <c r="Q169" s="753"/>
      <c r="R169" s="341" t="str">
        <f t="shared" si="7"/>
        <v/>
      </c>
      <c r="S169" s="81"/>
      <c r="T169" s="81"/>
      <c r="U169" s="319"/>
    </row>
    <row r="170" spans="1:21" ht="18" customHeight="1">
      <c r="A170" s="902"/>
      <c r="B170" s="648"/>
      <c r="C170" s="649"/>
      <c r="D170" s="650"/>
      <c r="E170" s="6"/>
      <c r="F170" s="189"/>
      <c r="G170" s="4"/>
      <c r="H170" s="195"/>
      <c r="I170" s="179">
        <f t="shared" si="4"/>
        <v>0</v>
      </c>
      <c r="J170" s="318">
        <f t="shared" si="5"/>
        <v>0</v>
      </c>
      <c r="K170" s="5">
        <f t="shared" si="8"/>
        <v>0</v>
      </c>
      <c r="L170" s="39"/>
      <c r="M170" s="39"/>
      <c r="N170" s="39"/>
      <c r="O170" s="39"/>
      <c r="P170" s="752" t="str">
        <f t="shared" si="6"/>
        <v/>
      </c>
      <c r="Q170" s="753"/>
      <c r="R170" s="341" t="str">
        <f t="shared" si="7"/>
        <v/>
      </c>
      <c r="S170" s="81"/>
      <c r="T170" s="81"/>
      <c r="U170" s="319"/>
    </row>
    <row r="171" spans="1:21" ht="18" customHeight="1">
      <c r="A171" s="902"/>
      <c r="B171" s="648"/>
      <c r="C171" s="649"/>
      <c r="D171" s="650"/>
      <c r="E171" s="6"/>
      <c r="F171" s="189"/>
      <c r="G171" s="4"/>
      <c r="H171" s="195"/>
      <c r="I171" s="179">
        <f>E171*G171</f>
        <v>0</v>
      </c>
      <c r="J171" s="318">
        <f t="shared" si="5"/>
        <v>0</v>
      </c>
      <c r="K171" s="5">
        <f t="shared" si="8"/>
        <v>0</v>
      </c>
      <c r="L171" s="39"/>
      <c r="M171" s="39"/>
      <c r="N171" s="39"/>
      <c r="O171" s="39"/>
      <c r="P171" s="752" t="str">
        <f t="shared" si="6"/>
        <v/>
      </c>
      <c r="Q171" s="753"/>
      <c r="R171" s="341" t="str">
        <f t="shared" si="7"/>
        <v/>
      </c>
      <c r="S171" s="81"/>
      <c r="T171" s="81"/>
      <c r="U171" s="319"/>
    </row>
    <row r="172" spans="1:21" ht="18" customHeight="1">
      <c r="A172" s="902"/>
      <c r="B172" s="648"/>
      <c r="C172" s="649"/>
      <c r="D172" s="650"/>
      <c r="E172" s="6"/>
      <c r="F172" s="189"/>
      <c r="G172" s="4"/>
      <c r="H172" s="195"/>
      <c r="I172" s="179">
        <f t="shared" si="4"/>
        <v>0</v>
      </c>
      <c r="J172" s="318">
        <f t="shared" si="5"/>
        <v>0</v>
      </c>
      <c r="K172" s="5">
        <f t="shared" si="8"/>
        <v>0</v>
      </c>
      <c r="L172" s="39"/>
      <c r="M172" s="39"/>
      <c r="N172" s="39"/>
      <c r="O172" s="39"/>
      <c r="P172" s="752" t="str">
        <f t="shared" si="6"/>
        <v/>
      </c>
      <c r="Q172" s="753"/>
      <c r="R172" s="341" t="str">
        <f t="shared" si="7"/>
        <v/>
      </c>
      <c r="S172" s="81"/>
      <c r="T172" s="81"/>
      <c r="U172" s="319"/>
    </row>
    <row r="173" spans="1:21" ht="18" customHeight="1">
      <c r="A173" s="902"/>
      <c r="B173" s="648"/>
      <c r="C173" s="649"/>
      <c r="D173" s="650"/>
      <c r="E173" s="6"/>
      <c r="F173" s="189"/>
      <c r="G173" s="4"/>
      <c r="H173" s="195"/>
      <c r="I173" s="179">
        <f t="shared" si="4"/>
        <v>0</v>
      </c>
      <c r="J173" s="318">
        <f t="shared" si="5"/>
        <v>0</v>
      </c>
      <c r="K173" s="5">
        <f t="shared" si="8"/>
        <v>0</v>
      </c>
      <c r="L173" s="39"/>
      <c r="M173" s="39"/>
      <c r="N173" s="39"/>
      <c r="O173" s="39"/>
      <c r="P173" s="752" t="str">
        <f t="shared" si="6"/>
        <v/>
      </c>
      <c r="Q173" s="753"/>
      <c r="R173" s="341" t="str">
        <f t="shared" si="7"/>
        <v/>
      </c>
      <c r="S173" s="81"/>
      <c r="T173" s="81"/>
      <c r="U173" s="319"/>
    </row>
    <row r="174" spans="1:21" ht="18" customHeight="1">
      <c r="A174" s="902"/>
      <c r="B174" s="648"/>
      <c r="C174" s="649"/>
      <c r="D174" s="650"/>
      <c r="E174" s="6"/>
      <c r="F174" s="189"/>
      <c r="G174" s="4"/>
      <c r="H174" s="195"/>
      <c r="I174" s="179">
        <f t="shared" si="4"/>
        <v>0</v>
      </c>
      <c r="J174" s="318">
        <f t="shared" si="5"/>
        <v>0</v>
      </c>
      <c r="K174" s="5">
        <f t="shared" si="8"/>
        <v>0</v>
      </c>
      <c r="L174" s="39"/>
      <c r="M174" s="39"/>
      <c r="N174" s="39"/>
      <c r="O174" s="39"/>
      <c r="P174" s="752" t="str">
        <f t="shared" si="6"/>
        <v/>
      </c>
      <c r="Q174" s="753"/>
      <c r="R174" s="341" t="str">
        <f t="shared" si="7"/>
        <v/>
      </c>
      <c r="S174" s="81"/>
      <c r="T174" s="81"/>
      <c r="U174" s="319"/>
    </row>
    <row r="175" spans="1:21" ht="18" customHeight="1">
      <c r="A175" s="902"/>
      <c r="B175" s="648"/>
      <c r="C175" s="649"/>
      <c r="D175" s="650"/>
      <c r="E175" s="6"/>
      <c r="F175" s="189"/>
      <c r="G175" s="4"/>
      <c r="H175" s="195"/>
      <c r="I175" s="493">
        <f t="shared" ref="I175:I178" si="9">E175*G175</f>
        <v>0</v>
      </c>
      <c r="J175" s="318">
        <f t="shared" ref="J175:J178" si="10">IF(H175="x",0,(E175*G175)*50%)</f>
        <v>0</v>
      </c>
      <c r="K175" s="5">
        <f t="shared" ref="K175:K178" si="11">F175*0.25*G175</f>
        <v>0</v>
      </c>
      <c r="L175" s="39"/>
      <c r="M175" s="39"/>
      <c r="N175" s="39"/>
      <c r="O175" s="39"/>
      <c r="P175" s="752" t="str">
        <f t="shared" ref="P175:P178" si="12">IF(AND(E175&gt;0,LEN(CONCATENATE(L175,M175,))&lt;&gt;1),"OBS der SKAL foretages ét valg i kolonne F","")</f>
        <v/>
      </c>
      <c r="Q175" s="753"/>
      <c r="R175" s="341" t="str">
        <f t="shared" si="7"/>
        <v/>
      </c>
      <c r="S175" s="81"/>
      <c r="T175" s="81"/>
      <c r="U175" s="319"/>
    </row>
    <row r="176" spans="1:21" ht="18" customHeight="1">
      <c r="A176" s="902"/>
      <c r="B176" s="648"/>
      <c r="C176" s="649"/>
      <c r="D176" s="650"/>
      <c r="E176" s="6"/>
      <c r="F176" s="189"/>
      <c r="G176" s="4"/>
      <c r="H176" s="195"/>
      <c r="I176" s="493">
        <f t="shared" si="9"/>
        <v>0</v>
      </c>
      <c r="J176" s="318">
        <f t="shared" si="10"/>
        <v>0</v>
      </c>
      <c r="K176" s="5">
        <f t="shared" si="11"/>
        <v>0</v>
      </c>
      <c r="L176" s="39"/>
      <c r="M176" s="39"/>
      <c r="N176" s="39"/>
      <c r="O176" s="39"/>
      <c r="P176" s="752" t="str">
        <f t="shared" si="12"/>
        <v/>
      </c>
      <c r="Q176" s="753"/>
      <c r="R176" s="341" t="str">
        <f t="shared" si="7"/>
        <v/>
      </c>
      <c r="S176" s="81"/>
      <c r="T176" s="81"/>
      <c r="U176" s="319"/>
    </row>
    <row r="177" spans="1:21" ht="18" customHeight="1">
      <c r="A177" s="902"/>
      <c r="B177" s="648"/>
      <c r="C177" s="649"/>
      <c r="D177" s="650"/>
      <c r="E177" s="6"/>
      <c r="F177" s="189"/>
      <c r="G177" s="4"/>
      <c r="H177" s="195"/>
      <c r="I177" s="493">
        <f t="shared" si="9"/>
        <v>0</v>
      </c>
      <c r="J177" s="318">
        <f t="shared" si="10"/>
        <v>0</v>
      </c>
      <c r="K177" s="5">
        <f t="shared" si="11"/>
        <v>0</v>
      </c>
      <c r="L177" s="39"/>
      <c r="M177" s="39"/>
      <c r="N177" s="39"/>
      <c r="O177" s="39"/>
      <c r="P177" s="752" t="str">
        <f t="shared" si="12"/>
        <v/>
      </c>
      <c r="Q177" s="753"/>
      <c r="R177" s="341" t="str">
        <f t="shared" si="7"/>
        <v/>
      </c>
      <c r="S177" s="81"/>
      <c r="T177" s="81"/>
      <c r="U177" s="319"/>
    </row>
    <row r="178" spans="1:21" ht="18" customHeight="1">
      <c r="A178" s="902"/>
      <c r="B178" s="648"/>
      <c r="C178" s="649"/>
      <c r="D178" s="650"/>
      <c r="E178" s="6"/>
      <c r="F178" s="189"/>
      <c r="G178" s="4"/>
      <c r="H178" s="195"/>
      <c r="I178" s="493">
        <f t="shared" si="9"/>
        <v>0</v>
      </c>
      <c r="J178" s="318">
        <f t="shared" si="10"/>
        <v>0</v>
      </c>
      <c r="K178" s="5">
        <f t="shared" si="11"/>
        <v>0</v>
      </c>
      <c r="L178" s="39"/>
      <c r="M178" s="39"/>
      <c r="N178" s="39"/>
      <c r="O178" s="39"/>
      <c r="P178" s="752" t="str">
        <f t="shared" si="12"/>
        <v/>
      </c>
      <c r="Q178" s="753"/>
      <c r="R178" s="341" t="str">
        <f t="shared" si="7"/>
        <v/>
      </c>
      <c r="S178" s="81"/>
      <c r="T178" s="81"/>
      <c r="U178" s="319"/>
    </row>
    <row r="179" spans="1:21" ht="18" customHeight="1">
      <c r="A179" s="902"/>
      <c r="B179" s="756"/>
      <c r="C179" s="757"/>
      <c r="D179" s="758"/>
      <c r="E179" s="6"/>
      <c r="F179" s="189"/>
      <c r="G179" s="4"/>
      <c r="H179" s="195"/>
      <c r="I179" s="179">
        <f t="shared" si="4"/>
        <v>0</v>
      </c>
      <c r="J179" s="318">
        <f t="shared" si="5"/>
        <v>0</v>
      </c>
      <c r="K179" s="5">
        <f t="shared" si="8"/>
        <v>0</v>
      </c>
      <c r="L179" s="39"/>
      <c r="M179" s="39"/>
      <c r="N179" s="39"/>
      <c r="O179" s="39"/>
      <c r="P179" s="752" t="str">
        <f t="shared" si="6"/>
        <v/>
      </c>
      <c r="Q179" s="753"/>
      <c r="R179" s="341" t="str">
        <f t="shared" si="7"/>
        <v/>
      </c>
      <c r="S179" s="81"/>
      <c r="T179" s="81"/>
      <c r="U179" s="319"/>
    </row>
    <row r="180" spans="1:21" ht="18" customHeight="1">
      <c r="A180" s="902"/>
      <c r="B180" s="756"/>
      <c r="C180" s="757"/>
      <c r="D180" s="758"/>
      <c r="E180" s="6"/>
      <c r="F180" s="189"/>
      <c r="G180" s="4"/>
      <c r="H180" s="195"/>
      <c r="I180" s="179">
        <f t="shared" si="4"/>
        <v>0</v>
      </c>
      <c r="J180" s="318">
        <f t="shared" si="5"/>
        <v>0</v>
      </c>
      <c r="K180" s="5">
        <f t="shared" si="8"/>
        <v>0</v>
      </c>
      <c r="L180" s="39"/>
      <c r="M180" s="39"/>
      <c r="N180" s="39"/>
      <c r="O180" s="39"/>
      <c r="P180" s="752" t="str">
        <f t="shared" si="6"/>
        <v/>
      </c>
      <c r="Q180" s="753"/>
      <c r="R180" s="341" t="str">
        <f t="shared" si="7"/>
        <v/>
      </c>
      <c r="S180" s="81"/>
      <c r="T180" s="81"/>
      <c r="U180" s="319"/>
    </row>
    <row r="181" spans="1:21" ht="18" customHeight="1">
      <c r="A181" s="902"/>
      <c r="B181" s="756"/>
      <c r="C181" s="757"/>
      <c r="D181" s="758"/>
      <c r="E181" s="6"/>
      <c r="F181" s="189"/>
      <c r="G181" s="4"/>
      <c r="H181" s="195"/>
      <c r="I181" s="179">
        <f t="shared" si="4"/>
        <v>0</v>
      </c>
      <c r="J181" s="318">
        <f t="shared" si="5"/>
        <v>0</v>
      </c>
      <c r="K181" s="5">
        <f t="shared" si="8"/>
        <v>0</v>
      </c>
      <c r="L181" s="39"/>
      <c r="M181" s="39"/>
      <c r="N181" s="39"/>
      <c r="O181" s="39"/>
      <c r="P181" s="752" t="str">
        <f t="shared" si="6"/>
        <v/>
      </c>
      <c r="Q181" s="753"/>
      <c r="R181" s="341" t="str">
        <f t="shared" si="7"/>
        <v/>
      </c>
      <c r="S181" s="81"/>
      <c r="T181" s="81"/>
      <c r="U181" s="319"/>
    </row>
    <row r="182" spans="1:21" ht="18" customHeight="1">
      <c r="A182" s="902"/>
      <c r="B182" s="756"/>
      <c r="C182" s="757"/>
      <c r="D182" s="758"/>
      <c r="E182" s="6"/>
      <c r="F182" s="189"/>
      <c r="G182" s="4"/>
      <c r="H182" s="195"/>
      <c r="I182" s="179">
        <f t="shared" si="4"/>
        <v>0</v>
      </c>
      <c r="J182" s="318">
        <f t="shared" si="5"/>
        <v>0</v>
      </c>
      <c r="K182" s="5">
        <f t="shared" si="8"/>
        <v>0</v>
      </c>
      <c r="L182" s="39"/>
      <c r="M182" s="39"/>
      <c r="N182" s="39"/>
      <c r="O182" s="39"/>
      <c r="P182" s="752" t="str">
        <f t="shared" si="6"/>
        <v/>
      </c>
      <c r="Q182" s="753"/>
      <c r="R182" s="341" t="str">
        <f t="shared" si="7"/>
        <v/>
      </c>
      <c r="S182" s="81">
        <f>ROW(P182)</f>
        <v>182</v>
      </c>
      <c r="T182" s="81"/>
      <c r="U182" s="319"/>
    </row>
    <row r="183" spans="1:21" ht="17" customHeight="1">
      <c r="A183" s="902"/>
      <c r="B183" s="907" t="s">
        <v>1</v>
      </c>
      <c r="C183" s="908"/>
      <c r="D183" s="908"/>
      <c r="E183" s="908"/>
      <c r="F183" s="908"/>
      <c r="G183" s="908"/>
      <c r="H183" s="908"/>
      <c r="I183" s="908"/>
      <c r="J183" s="908"/>
      <c r="K183" s="909"/>
      <c r="L183" s="5">
        <f>IF(L166&lt;&gt;0,I166+J166)+IF(L167&lt;&gt;0,I167+J167)+IF(L168&lt;&gt;0,I168+J168)+IF(L169&lt;&gt;0,I169+J169)+IF(L170&lt;&gt;0,I170+J170)+IF(L171&lt;&gt;0,I171+J171)+IF(L172&lt;&gt;0,I172+J172)+IF(L173&lt;&gt;0,I173+J173)+IF(L174&lt;&gt;0,I174+J174)+IF(L179&lt;&gt;0,I179+J179)+IF(L180&lt;&gt;0,I180+J180)+IF(L181&lt;&gt;0,I181+J181)+IF(L182&lt;&gt;0,I182+J182)+IF(L175&lt;&gt;0,I175+J175)+IF(L176&lt;&gt;0,I176+J176)+IF(L177&lt;&gt;0,I177+J177)+IF(L178&lt;&gt;0,I178+J178)</f>
        <v>0</v>
      </c>
      <c r="M183" s="5">
        <f>IF(M166&lt;&gt;0,I166+J166)+IF(M167&lt;&gt;0,I167+J167)+IF(M168&lt;&gt;0,I168+J168)+IF(M169&lt;&gt;0,I169+J169)+IF(M170&lt;&gt;0,I170+J170)+IF(M171&lt;&gt;0,I171+J171)+IF(M172&lt;&gt;0,I172+J172)+IF(M173&lt;&gt;0,I173+J173)+IF(M174&lt;&gt;0,I174+J174)+IF(M179&lt;&gt;0,I179+J179)+IF(M180&lt;&gt;0,I180+J180)+IF(M181&lt;&gt;0,I181+J181)+IF(M182&lt;&gt;0,I182+J182)+IF(M175&lt;&gt;0,I175+J175)+IF(M176&lt;&gt;0,I176+J176)+IF(M177&lt;&gt;0,I177+J177)+IF(M178&lt;&gt;0,I178+J178)</f>
        <v>0</v>
      </c>
      <c r="N183" s="5">
        <f>IF(N166&lt;&gt;0,$K$166)+IF(N167&lt;&gt;0,$K$167)+IF(N168&lt;&gt;0,$K$168)+IF(N169&lt;&gt;0,$K$169)+IF(N170&lt;&gt;0,$K$170)+IF(N171&lt;&gt;0,$K$171)+IF(N172&lt;&gt;0,$K$172)+IF(N173&lt;&gt;0,$K$173)+IF(N174&lt;&gt;0,$K$174+IF(N179&lt;&gt;0,$K$179)+IF(N180&lt;&gt;0,$K$180)+IF(N181&lt;&gt;0,$K$181)+IF(N182&lt;&gt;0,$K$182)+IF(N175&lt;&gt;0,$K$175)+IF(N176&lt;&gt;0,$K$176)+(IF(N177&lt;&gt;0,$K$177)+IF(N178&lt;&gt;0,$K$178)))</f>
        <v>0</v>
      </c>
      <c r="O183" s="5">
        <f>IF(O166&lt;&gt;0,$K$166)+IF(O167&lt;&gt;0,$K$167)+IF(O168&lt;&gt;0,$K$168)+IF(O169&lt;&gt;0,$K$169)+IF(O170&lt;&gt;0,$K$170)+IF(O171&lt;&gt;0,$K$171)+IF(O172&lt;&gt;0,$K$172)+IF(O173&lt;&gt;0,$K$173)+IF(O174&lt;&gt;0,$K$174+IF(O179&lt;&gt;0,$K$179)+IF(O180&lt;&gt;0,$K$180)+IF(O181&lt;&gt;0,$K$181)+IF(O182&lt;&gt;0,$K$182)+IF(O175&lt;&gt;0,$K$175)+IF(O176&lt;&gt;0,$K$176)+(IF(O177&lt;&gt;0,$K$177)+IF(O178&lt;&gt;0,$K$178)))</f>
        <v>0</v>
      </c>
      <c r="P183" s="319"/>
      <c r="Q183" s="319"/>
      <c r="R183" s="319"/>
      <c r="S183" s="81"/>
      <c r="T183" s="81"/>
      <c r="U183" s="319"/>
    </row>
    <row r="184" spans="1:21" ht="28" customHeight="1">
      <c r="A184" s="54"/>
      <c r="B184" s="10"/>
      <c r="C184" s="10"/>
      <c r="D184" s="10"/>
      <c r="E184" s="10"/>
      <c r="P184" s="319"/>
      <c r="Q184" s="319"/>
      <c r="R184" s="319"/>
      <c r="S184" s="319"/>
      <c r="T184" s="319"/>
      <c r="U184" s="319"/>
    </row>
    <row r="185" spans="1:21" ht="28" customHeight="1">
      <c r="A185" s="699">
        <v>8</v>
      </c>
      <c r="B185" s="702" t="s">
        <v>370</v>
      </c>
      <c r="C185" s="703"/>
      <c r="D185" s="703"/>
      <c r="E185" s="703"/>
      <c r="F185" s="703"/>
      <c r="G185" s="703"/>
      <c r="H185" s="704"/>
    </row>
    <row r="186" spans="1:21" ht="41" customHeight="1">
      <c r="A186" s="700"/>
      <c r="B186" s="705" t="s">
        <v>371</v>
      </c>
      <c r="C186" s="706"/>
      <c r="D186" s="706"/>
      <c r="E186" s="706"/>
      <c r="F186" s="706"/>
      <c r="G186" s="706"/>
      <c r="H186" s="707"/>
    </row>
    <row r="187" spans="1:21" ht="28" customHeight="1">
      <c r="A187" s="700"/>
      <c r="B187" s="708" t="s">
        <v>399</v>
      </c>
      <c r="C187" s="709"/>
      <c r="D187" s="709"/>
      <c r="E187" s="709"/>
      <c r="F187" s="709"/>
      <c r="G187" s="709"/>
      <c r="H187" s="710"/>
    </row>
    <row r="188" spans="1:21" ht="38" customHeight="1">
      <c r="A188" s="700"/>
      <c r="B188" s="708"/>
      <c r="C188" s="709"/>
      <c r="D188" s="709"/>
      <c r="E188" s="709"/>
      <c r="F188" s="709"/>
      <c r="G188" s="709"/>
      <c r="H188" s="710"/>
    </row>
    <row r="189" spans="1:21" ht="19" customHeight="1">
      <c r="A189" s="700"/>
      <c r="B189" s="708" t="s">
        <v>374</v>
      </c>
      <c r="C189" s="709"/>
      <c r="D189" s="709"/>
      <c r="E189" s="709"/>
      <c r="F189" s="709"/>
      <c r="G189" s="709"/>
      <c r="H189" s="710"/>
    </row>
    <row r="190" spans="1:21" ht="35" customHeight="1">
      <c r="A190" s="700"/>
      <c r="B190" s="708" t="s">
        <v>373</v>
      </c>
      <c r="C190" s="709"/>
      <c r="D190" s="709"/>
      <c r="E190" s="709"/>
      <c r="F190" s="709"/>
      <c r="G190" s="709"/>
      <c r="H190" s="710"/>
    </row>
    <row r="191" spans="1:21" ht="20" customHeight="1">
      <c r="A191" s="700"/>
      <c r="B191" s="720" t="str">
        <f>"(Hvis brug for flere rækker - kan disse indsættes imellem række "&amp;I194&amp; - I199&amp;")"</f>
        <v>(Hvis brug for flere rækker - kan disse indsættes imellem række 194-199)</v>
      </c>
      <c r="C191" s="721"/>
      <c r="D191" s="721"/>
      <c r="E191" s="721"/>
      <c r="F191" s="721"/>
      <c r="G191" s="721"/>
      <c r="H191" s="722"/>
      <c r="I191" s="536"/>
      <c r="J191" s="536"/>
      <c r="K191" s="536"/>
      <c r="L191" s="536"/>
      <c r="M191" s="536"/>
      <c r="N191" s="536"/>
      <c r="O191" s="536"/>
    </row>
    <row r="192" spans="1:21" ht="28" customHeight="1">
      <c r="A192" s="700"/>
      <c r="B192" s="711" t="s">
        <v>132</v>
      </c>
      <c r="C192" s="712"/>
      <c r="D192" s="712"/>
      <c r="E192" s="713"/>
      <c r="F192" s="107" t="s">
        <v>35</v>
      </c>
      <c r="G192" s="111" t="s">
        <v>11</v>
      </c>
      <c r="H192" s="111" t="s">
        <v>36</v>
      </c>
    </row>
    <row r="193" spans="1:9" ht="17" customHeight="1">
      <c r="A193" s="700"/>
      <c r="B193" s="714" t="s">
        <v>372</v>
      </c>
      <c r="C193" s="714"/>
      <c r="D193" s="714"/>
      <c r="E193" s="714"/>
      <c r="F193" s="534"/>
      <c r="G193" s="535"/>
      <c r="H193" s="52">
        <f>K150+M183+O183</f>
        <v>0</v>
      </c>
    </row>
    <row r="194" spans="1:9" ht="18" customHeight="1">
      <c r="A194" s="700"/>
      <c r="B194" s="715"/>
      <c r="C194" s="715"/>
      <c r="D194" s="715"/>
      <c r="E194" s="715"/>
      <c r="F194" s="38"/>
      <c r="G194" s="76"/>
      <c r="H194" s="52">
        <f>F194*G194</f>
        <v>0</v>
      </c>
      <c r="I194" s="81">
        <v>194</v>
      </c>
    </row>
    <row r="195" spans="1:9" ht="18" customHeight="1">
      <c r="A195" s="700"/>
      <c r="B195" s="715"/>
      <c r="C195" s="715"/>
      <c r="D195" s="715"/>
      <c r="E195" s="715"/>
      <c r="F195" s="38"/>
      <c r="G195" s="76"/>
      <c r="H195" s="52">
        <f t="shared" ref="H195:H196" si="13">F195*G195</f>
        <v>0</v>
      </c>
      <c r="I195" s="81"/>
    </row>
    <row r="196" spans="1:9" ht="18" customHeight="1">
      <c r="A196" s="700"/>
      <c r="B196" s="715"/>
      <c r="C196" s="715"/>
      <c r="D196" s="715"/>
      <c r="E196" s="715"/>
      <c r="F196" s="38"/>
      <c r="G196" s="76"/>
      <c r="H196" s="52">
        <f t="shared" si="13"/>
        <v>0</v>
      </c>
      <c r="I196" s="81"/>
    </row>
    <row r="197" spans="1:9" ht="18" customHeight="1">
      <c r="A197" s="700"/>
      <c r="B197" s="716"/>
      <c r="C197" s="716"/>
      <c r="D197" s="716"/>
      <c r="E197" s="716"/>
      <c r="F197" s="76"/>
      <c r="G197" s="76"/>
      <c r="H197" s="52">
        <f>F197*G197</f>
        <v>0</v>
      </c>
      <c r="I197" s="81"/>
    </row>
    <row r="198" spans="1:9" ht="18" customHeight="1">
      <c r="A198" s="700"/>
      <c r="B198" s="716"/>
      <c r="C198" s="716"/>
      <c r="D198" s="716"/>
      <c r="E198" s="716"/>
      <c r="F198" s="76"/>
      <c r="G198" s="76"/>
      <c r="H198" s="52">
        <f>F198*G198</f>
        <v>0</v>
      </c>
      <c r="I198" s="81"/>
    </row>
    <row r="199" spans="1:9" ht="18" customHeight="1">
      <c r="A199" s="700"/>
      <c r="B199" s="716"/>
      <c r="C199" s="716"/>
      <c r="D199" s="716"/>
      <c r="E199" s="716"/>
      <c r="F199" s="76"/>
      <c r="G199" s="76"/>
      <c r="H199" s="52">
        <f>F199*G199</f>
        <v>0</v>
      </c>
      <c r="I199" s="81">
        <v>199</v>
      </c>
    </row>
    <row r="200" spans="1:9" ht="36" customHeight="1">
      <c r="A200" s="701"/>
      <c r="B200" s="717" t="s">
        <v>375</v>
      </c>
      <c r="C200" s="718"/>
      <c r="D200" s="718"/>
      <c r="E200" s="718"/>
      <c r="F200" s="718"/>
      <c r="G200" s="719"/>
      <c r="H200" s="52">
        <f>H193-SUM(H194:H199)</f>
        <v>0</v>
      </c>
    </row>
    <row r="201" spans="1:9" ht="28" customHeight="1">
      <c r="A201" s="40"/>
      <c r="B201" s="10"/>
      <c r="C201" s="10"/>
      <c r="D201" s="10"/>
      <c r="E201" s="10"/>
    </row>
    <row r="202" spans="1:9" ht="25" customHeight="1">
      <c r="A202" s="723">
        <v>9</v>
      </c>
      <c r="B202" s="654" t="s">
        <v>74</v>
      </c>
      <c r="C202" s="655"/>
      <c r="D202" s="655"/>
      <c r="E202" s="655"/>
      <c r="F202" s="655"/>
      <c r="G202" s="655"/>
      <c r="H202" s="655"/>
      <c r="I202" s="656"/>
    </row>
    <row r="203" spans="1:9" ht="15" customHeight="1">
      <c r="A203" s="724"/>
      <c r="B203" s="816" t="s">
        <v>330</v>
      </c>
      <c r="C203" s="817"/>
      <c r="D203" s="817"/>
      <c r="E203" s="817"/>
      <c r="F203" s="817"/>
      <c r="G203" s="817"/>
      <c r="H203" s="817"/>
      <c r="I203" s="818"/>
    </row>
    <row r="204" spans="1:9" ht="15" customHeight="1">
      <c r="A204" s="724"/>
      <c r="B204" s="915"/>
      <c r="C204" s="916"/>
      <c r="D204" s="916"/>
      <c r="E204" s="916"/>
      <c r="F204" s="916"/>
      <c r="G204" s="916"/>
      <c r="H204" s="916"/>
      <c r="I204" s="917"/>
    </row>
    <row r="205" spans="1:9" ht="17" customHeight="1">
      <c r="A205" s="724"/>
      <c r="B205" s="692"/>
      <c r="C205" s="693"/>
      <c r="D205" s="693"/>
      <c r="E205" s="693"/>
      <c r="F205" s="693"/>
      <c r="G205" s="694"/>
      <c r="H205" s="37" t="s">
        <v>116</v>
      </c>
      <c r="I205" s="37" t="s">
        <v>37</v>
      </c>
    </row>
    <row r="206" spans="1:9" ht="17" customHeight="1">
      <c r="A206" s="724"/>
      <c r="B206" s="896" t="s">
        <v>72</v>
      </c>
      <c r="C206" s="897"/>
      <c r="D206" s="897"/>
      <c r="E206" s="897"/>
      <c r="F206" s="897"/>
      <c r="G206" s="898"/>
      <c r="H206" s="71">
        <v>2</v>
      </c>
      <c r="I206" s="333">
        <f>G19</f>
        <v>0</v>
      </c>
    </row>
    <row r="207" spans="1:9" ht="17" customHeight="1">
      <c r="A207" s="724"/>
      <c r="B207" s="689" t="s">
        <v>152</v>
      </c>
      <c r="C207" s="690"/>
      <c r="D207" s="690"/>
      <c r="E207" s="690"/>
      <c r="F207" s="690"/>
      <c r="G207" s="691"/>
      <c r="H207" s="53" t="s">
        <v>96</v>
      </c>
      <c r="I207" s="312">
        <f>H93</f>
        <v>0</v>
      </c>
    </row>
    <row r="208" spans="1:9" ht="17" customHeight="1">
      <c r="A208" s="724"/>
      <c r="B208" s="689" t="s">
        <v>259</v>
      </c>
      <c r="C208" s="690"/>
      <c r="D208" s="690"/>
      <c r="E208" s="690"/>
      <c r="F208" s="690"/>
      <c r="G208" s="691"/>
      <c r="H208" s="53" t="s">
        <v>71</v>
      </c>
      <c r="I208" s="312">
        <f>H109</f>
        <v>0</v>
      </c>
    </row>
    <row r="209" spans="1:15" ht="17" customHeight="1">
      <c r="A209" s="724"/>
      <c r="B209" s="689" t="s">
        <v>379</v>
      </c>
      <c r="C209" s="690"/>
      <c r="D209" s="690"/>
      <c r="E209" s="690"/>
      <c r="F209" s="690"/>
      <c r="G209" s="691"/>
      <c r="H209" s="53" t="s">
        <v>73</v>
      </c>
      <c r="I209" s="312">
        <f>H150</f>
        <v>0</v>
      </c>
    </row>
    <row r="210" spans="1:15" ht="17" customHeight="1" thickBot="1">
      <c r="A210" s="724"/>
      <c r="B210" s="912" t="s">
        <v>188</v>
      </c>
      <c r="C210" s="913"/>
      <c r="D210" s="913"/>
      <c r="E210" s="913"/>
      <c r="F210" s="913"/>
      <c r="G210" s="914"/>
      <c r="H210" s="77"/>
      <c r="I210" s="312">
        <f>H210*E8</f>
        <v>0</v>
      </c>
    </row>
    <row r="211" spans="1:15" ht="17" customHeight="1">
      <c r="A211" s="724"/>
      <c r="B211" s="331" t="s">
        <v>119</v>
      </c>
      <c r="C211" s="332"/>
      <c r="D211" s="332"/>
      <c r="E211" s="332"/>
      <c r="F211" s="332"/>
      <c r="G211" s="332"/>
      <c r="H211" s="73"/>
      <c r="I211" s="334">
        <f>I206-I207-I208-I209-I210</f>
        <v>0</v>
      </c>
    </row>
    <row r="212" spans="1:15" ht="17" customHeight="1">
      <c r="A212" s="724"/>
      <c r="B212" s="686" t="s">
        <v>125</v>
      </c>
      <c r="C212" s="687"/>
      <c r="D212" s="687"/>
      <c r="E212" s="687"/>
      <c r="F212" s="687"/>
      <c r="G212" s="688"/>
      <c r="H212" s="72">
        <v>3</v>
      </c>
      <c r="I212" s="335">
        <f>H62+P62</f>
        <v>0</v>
      </c>
    </row>
    <row r="213" spans="1:15" ht="17" customHeight="1">
      <c r="A213" s="724"/>
      <c r="B213" s="918" t="s">
        <v>75</v>
      </c>
      <c r="C213" s="919"/>
      <c r="D213" s="919"/>
      <c r="E213" s="919"/>
      <c r="F213" s="919"/>
      <c r="G213" s="919"/>
      <c r="H213" s="920"/>
      <c r="I213" s="196">
        <f>I211-I212</f>
        <v>0</v>
      </c>
      <c r="J213" s="324"/>
    </row>
    <row r="214" spans="1:15" ht="1" customHeight="1" thickBot="1">
      <c r="A214" s="725"/>
      <c r="B214" s="328"/>
      <c r="C214" s="329"/>
      <c r="D214" s="329"/>
      <c r="E214" s="329"/>
      <c r="F214" s="329"/>
      <c r="G214" s="329"/>
      <c r="H214" s="329"/>
      <c r="I214" s="330"/>
      <c r="J214" s="336"/>
      <c r="K214" s="325"/>
    </row>
    <row r="215" spans="1:15" ht="16" customHeight="1">
      <c r="A215" s="31"/>
      <c r="B215" s="61"/>
      <c r="C215" s="61"/>
      <c r="D215" s="61"/>
      <c r="E215" s="61"/>
      <c r="F215" s="61"/>
      <c r="G215" s="61"/>
      <c r="H215" s="61"/>
      <c r="I215" s="62"/>
      <c r="J215" s="337"/>
      <c r="K215" s="313"/>
    </row>
    <row r="216" spans="1:15" ht="26" customHeight="1">
      <c r="A216" s="723">
        <v>9</v>
      </c>
      <c r="B216" s="789" t="s">
        <v>345</v>
      </c>
      <c r="C216" s="790"/>
      <c r="D216" s="790"/>
      <c r="E216" s="790"/>
      <c r="F216" s="790"/>
      <c r="G216" s="790"/>
      <c r="H216" s="790"/>
      <c r="I216" s="790"/>
      <c r="J216" s="790"/>
      <c r="K216" s="791"/>
    </row>
    <row r="217" spans="1:15" ht="23" customHeight="1">
      <c r="A217" s="724"/>
      <c r="B217" s="905" t="s">
        <v>153</v>
      </c>
      <c r="C217" s="906"/>
      <c r="D217" s="906"/>
      <c r="E217" s="906"/>
      <c r="F217" s="906"/>
      <c r="G217" s="906"/>
      <c r="H217" s="798" t="s">
        <v>104</v>
      </c>
      <c r="I217" s="799"/>
      <c r="J217" s="806">
        <f>F109+G109</f>
        <v>0</v>
      </c>
      <c r="K217" s="807"/>
    </row>
    <row r="218" spans="1:15" ht="29" customHeight="1">
      <c r="A218" s="724"/>
      <c r="B218" s="681" t="s">
        <v>106</v>
      </c>
      <c r="C218" s="682"/>
      <c r="D218" s="682"/>
      <c r="E218" s="682"/>
      <c r="F218" s="682"/>
      <c r="G218" s="682"/>
      <c r="H218" s="800" t="s">
        <v>105</v>
      </c>
      <c r="I218" s="801"/>
      <c r="J218" s="780">
        <f>H61+P61+P39+O39+N39+M39+L39+H39+G39+F39+E39+D39</f>
        <v>0</v>
      </c>
      <c r="K218" s="782"/>
    </row>
    <row r="219" spans="1:15" ht="21" customHeight="1">
      <c r="A219" s="724"/>
      <c r="B219" s="792" t="s">
        <v>117</v>
      </c>
      <c r="C219" s="793"/>
      <c r="D219" s="793"/>
      <c r="E219" s="793"/>
      <c r="F219" s="793"/>
      <c r="G219" s="793"/>
      <c r="H219" s="793"/>
      <c r="I219" s="794"/>
      <c r="J219" s="808">
        <f>J217+J218</f>
        <v>0</v>
      </c>
      <c r="K219" s="809"/>
      <c r="L219" s="903" t="str">
        <f>IF(J219&lt;&gt;200,"OBS der er normalt 200 skoledage i et skoleår"," ")</f>
        <v>OBS der er normalt 200 skoledage i et skoleår</v>
      </c>
      <c r="M219" s="904"/>
      <c r="N219" s="904"/>
      <c r="O219" s="904"/>
    </row>
    <row r="220" spans="1:15" ht="33" customHeight="1" thickBot="1">
      <c r="A220" s="724"/>
      <c r="B220" s="795" t="s">
        <v>107</v>
      </c>
      <c r="C220" s="796"/>
      <c r="D220" s="796"/>
      <c r="E220" s="796"/>
      <c r="F220" s="796"/>
      <c r="G220" s="796"/>
      <c r="H220" s="796"/>
      <c r="I220" s="797"/>
      <c r="J220" s="889" t="e">
        <f>I211/J218</f>
        <v>#DIV/0!</v>
      </c>
      <c r="K220" s="890"/>
    </row>
    <row r="221" spans="1:15" ht="17" customHeight="1">
      <c r="A221" s="724"/>
      <c r="B221" s="89"/>
      <c r="C221" s="90"/>
      <c r="D221" s="90"/>
      <c r="E221" s="91"/>
      <c r="F221" s="684" t="s">
        <v>102</v>
      </c>
      <c r="G221" s="685"/>
      <c r="H221" s="199">
        <f>E24</f>
        <v>0</v>
      </c>
      <c r="I221" s="200">
        <f>G24</f>
        <v>0</v>
      </c>
      <c r="J221" s="891" t="s">
        <v>109</v>
      </c>
      <c r="K221" s="892"/>
    </row>
    <row r="222" spans="1:15" ht="94" customHeight="1">
      <c r="A222" s="724"/>
      <c r="B222" s="681" t="s">
        <v>123</v>
      </c>
      <c r="C222" s="682"/>
      <c r="D222" s="682"/>
      <c r="E222" s="683"/>
      <c r="F222" s="88" t="s">
        <v>10</v>
      </c>
      <c r="G222" s="56" t="s">
        <v>334</v>
      </c>
      <c r="H222" s="56" t="s">
        <v>101</v>
      </c>
      <c r="I222" s="92" t="s">
        <v>88</v>
      </c>
      <c r="J222" s="94" t="s">
        <v>155</v>
      </c>
      <c r="K222" s="128" t="s">
        <v>103</v>
      </c>
    </row>
    <row r="223" spans="1:15" ht="17" customHeight="1">
      <c r="A223" s="724"/>
      <c r="B223" s="681" t="s">
        <v>77</v>
      </c>
      <c r="C223" s="682"/>
      <c r="D223" s="682"/>
      <c r="E223" s="683"/>
      <c r="F223" s="57">
        <f>D39+D59</f>
        <v>0</v>
      </c>
      <c r="G223" s="78"/>
      <c r="H223" s="60">
        <f>IF(D40=0,0,(D40/D39))</f>
        <v>0</v>
      </c>
      <c r="I223" s="93">
        <f>G223-H223</f>
        <v>0</v>
      </c>
      <c r="J223" s="103"/>
      <c r="K223" s="95">
        <f>J223+(G223/24)</f>
        <v>0</v>
      </c>
    </row>
    <row r="224" spans="1:15" ht="17" customHeight="1">
      <c r="A224" s="724"/>
      <c r="B224" s="681" t="s">
        <v>78</v>
      </c>
      <c r="C224" s="682"/>
      <c r="D224" s="682"/>
      <c r="E224" s="683"/>
      <c r="F224" s="57">
        <f>E39+E59</f>
        <v>0</v>
      </c>
      <c r="G224" s="78"/>
      <c r="H224" s="60">
        <f>IF(E40=0,0,(E40/E39))</f>
        <v>0</v>
      </c>
      <c r="I224" s="93">
        <f>G224-H224</f>
        <v>0</v>
      </c>
      <c r="J224" s="103"/>
      <c r="K224" s="95">
        <f>J224+(G224/24)</f>
        <v>0</v>
      </c>
    </row>
    <row r="225" spans="1:11" ht="17" customHeight="1">
      <c r="A225" s="724"/>
      <c r="B225" s="681" t="s">
        <v>79</v>
      </c>
      <c r="C225" s="682"/>
      <c r="D225" s="682"/>
      <c r="E225" s="683"/>
      <c r="F225" s="57">
        <f>F59+F39</f>
        <v>0</v>
      </c>
      <c r="G225" s="78"/>
      <c r="H225" s="60">
        <f>IF(F40=0,0,(F40/F39))</f>
        <v>0</v>
      </c>
      <c r="I225" s="93">
        <f>G225-H225</f>
        <v>0</v>
      </c>
      <c r="J225" s="103"/>
      <c r="K225" s="95">
        <f>J225+(G225/24)</f>
        <v>0</v>
      </c>
    </row>
    <row r="226" spans="1:11" ht="17" customHeight="1">
      <c r="A226" s="724"/>
      <c r="B226" s="681" t="s">
        <v>80</v>
      </c>
      <c r="C226" s="682"/>
      <c r="D226" s="682"/>
      <c r="E226" s="683"/>
      <c r="F226" s="57">
        <f>G59+G39</f>
        <v>0</v>
      </c>
      <c r="G226" s="78"/>
      <c r="H226" s="60">
        <f>IF(G40=0,0,(G40/G39))</f>
        <v>0</v>
      </c>
      <c r="I226" s="93">
        <f>G226-H226</f>
        <v>0</v>
      </c>
      <c r="J226" s="103"/>
      <c r="K226" s="95">
        <f>J226+(G226/24)</f>
        <v>0</v>
      </c>
    </row>
    <row r="227" spans="1:11" ht="17" customHeight="1" thickBot="1">
      <c r="A227" s="724"/>
      <c r="B227" s="899" t="s">
        <v>81</v>
      </c>
      <c r="C227" s="900"/>
      <c r="D227" s="900"/>
      <c r="E227" s="901"/>
      <c r="F227" s="203">
        <f>H39+H59</f>
        <v>0</v>
      </c>
      <c r="G227" s="78"/>
      <c r="H227" s="60">
        <f>IF(H40=0,0,(H40/H39))</f>
        <v>0</v>
      </c>
      <c r="I227" s="204">
        <f>G227-H227</f>
        <v>0</v>
      </c>
      <c r="J227" s="103"/>
      <c r="K227" s="205">
        <f>J227+(G227/24)</f>
        <v>0</v>
      </c>
    </row>
    <row r="228" spans="1:11" ht="17" customHeight="1" thickBot="1">
      <c r="A228" s="724"/>
      <c r="B228" s="802" t="s">
        <v>190</v>
      </c>
      <c r="C228" s="803"/>
      <c r="D228" s="803"/>
      <c r="E228" s="803"/>
      <c r="F228" s="804"/>
      <c r="G228" s="206">
        <f>SUM(G223:G227)</f>
        <v>0</v>
      </c>
      <c r="H228" s="206">
        <f t="shared" ref="H228:I228" si="14">SUM(H223:H227)</f>
        <v>0</v>
      </c>
      <c r="I228" s="209">
        <f t="shared" si="14"/>
        <v>0</v>
      </c>
      <c r="J228" s="208"/>
      <c r="K228" s="207"/>
    </row>
    <row r="229" spans="1:11" ht="17" customHeight="1" thickBot="1">
      <c r="A229" s="724"/>
      <c r="B229" s="786"/>
      <c r="C229" s="787"/>
      <c r="D229" s="787"/>
      <c r="E229" s="787"/>
      <c r="F229" s="787"/>
      <c r="G229" s="787"/>
      <c r="H229" s="787"/>
      <c r="I229" s="787"/>
      <c r="J229" s="787"/>
      <c r="K229" s="788"/>
    </row>
    <row r="230" spans="1:11" ht="17" customHeight="1">
      <c r="A230" s="724"/>
      <c r="B230" s="89"/>
      <c r="C230" s="90"/>
      <c r="D230" s="90"/>
      <c r="E230" s="90"/>
      <c r="F230" s="805" t="s">
        <v>102</v>
      </c>
      <c r="G230" s="805"/>
      <c r="H230" s="201">
        <f>M24</f>
        <v>0</v>
      </c>
      <c r="I230" s="202">
        <f>O24</f>
        <v>0</v>
      </c>
      <c r="J230" s="891" t="s">
        <v>109</v>
      </c>
      <c r="K230" s="892"/>
    </row>
    <row r="231" spans="1:11" ht="91" customHeight="1">
      <c r="A231" s="724"/>
      <c r="B231" s="681" t="s">
        <v>123</v>
      </c>
      <c r="C231" s="682"/>
      <c r="D231" s="682"/>
      <c r="E231" s="683"/>
      <c r="F231" s="88" t="s">
        <v>10</v>
      </c>
      <c r="G231" s="56" t="s">
        <v>334</v>
      </c>
      <c r="H231" s="56" t="s">
        <v>101</v>
      </c>
      <c r="I231" s="92" t="s">
        <v>88</v>
      </c>
      <c r="J231" s="94" t="s">
        <v>155</v>
      </c>
      <c r="K231" s="128" t="s">
        <v>103</v>
      </c>
    </row>
    <row r="232" spans="1:11" ht="17" customHeight="1">
      <c r="A232" s="724"/>
      <c r="B232" s="681" t="s">
        <v>77</v>
      </c>
      <c r="C232" s="682"/>
      <c r="D232" s="682"/>
      <c r="E232" s="683"/>
      <c r="F232" s="57">
        <f>L39+L59</f>
        <v>0</v>
      </c>
      <c r="G232" s="78"/>
      <c r="H232" s="60">
        <f>IF(L40=0,0,(L40/L39))</f>
        <v>0</v>
      </c>
      <c r="I232" s="93">
        <f>G232-H232</f>
        <v>0</v>
      </c>
      <c r="J232" s="103"/>
      <c r="K232" s="95">
        <f>J232+(G232/24)</f>
        <v>0</v>
      </c>
    </row>
    <row r="233" spans="1:11" ht="17" customHeight="1">
      <c r="A233" s="724"/>
      <c r="B233" s="681" t="s">
        <v>78</v>
      </c>
      <c r="C233" s="682"/>
      <c r="D233" s="682"/>
      <c r="E233" s="683"/>
      <c r="F233" s="57">
        <f>M39+M59</f>
        <v>0</v>
      </c>
      <c r="G233" s="78"/>
      <c r="H233" s="60">
        <f>IF(M40=0,0,(M40/M39))</f>
        <v>0</v>
      </c>
      <c r="I233" s="93">
        <f>G233-H233</f>
        <v>0</v>
      </c>
      <c r="J233" s="103"/>
      <c r="K233" s="95">
        <f>J233+(G233/24)</f>
        <v>0</v>
      </c>
    </row>
    <row r="234" spans="1:11" ht="17" customHeight="1">
      <c r="A234" s="724"/>
      <c r="B234" s="681" t="s">
        <v>79</v>
      </c>
      <c r="C234" s="682"/>
      <c r="D234" s="682"/>
      <c r="E234" s="683"/>
      <c r="F234" s="57">
        <f>N39+N59</f>
        <v>0</v>
      </c>
      <c r="G234" s="78"/>
      <c r="H234" s="60">
        <f>IF(N40=0,0,(N40/N39))</f>
        <v>0</v>
      </c>
      <c r="I234" s="93">
        <f>G234-H234</f>
        <v>0</v>
      </c>
      <c r="J234" s="103"/>
      <c r="K234" s="95">
        <f>J234+(G234/24)</f>
        <v>0</v>
      </c>
    </row>
    <row r="235" spans="1:11" ht="17" customHeight="1">
      <c r="A235" s="724"/>
      <c r="B235" s="681" t="s">
        <v>80</v>
      </c>
      <c r="C235" s="682"/>
      <c r="D235" s="682"/>
      <c r="E235" s="683"/>
      <c r="F235" s="57">
        <f>O39+O59</f>
        <v>0</v>
      </c>
      <c r="G235" s="78"/>
      <c r="H235" s="60">
        <f>IF(O40=0,0,(O40/O39))</f>
        <v>0</v>
      </c>
      <c r="I235" s="93">
        <f>G235-H235</f>
        <v>0</v>
      </c>
      <c r="J235" s="103"/>
      <c r="K235" s="95">
        <f>J235+(G235/24)</f>
        <v>0</v>
      </c>
    </row>
    <row r="236" spans="1:11" ht="17" customHeight="1" thickBot="1">
      <c r="A236" s="724"/>
      <c r="B236" s="681" t="s">
        <v>81</v>
      </c>
      <c r="C236" s="682"/>
      <c r="D236" s="682"/>
      <c r="E236" s="683"/>
      <c r="F236" s="57">
        <f>P39+P59</f>
        <v>0</v>
      </c>
      <c r="G236" s="78"/>
      <c r="H236" s="60">
        <f>IF(P40=0,0,(P40/P39))</f>
        <v>0</v>
      </c>
      <c r="I236" s="93">
        <f>G236-H236</f>
        <v>0</v>
      </c>
      <c r="J236" s="103"/>
      <c r="K236" s="96">
        <f>J236+(G236/24)</f>
        <v>0</v>
      </c>
    </row>
    <row r="237" spans="1:11" ht="17" customHeight="1" thickBot="1">
      <c r="A237" s="724"/>
      <c r="B237" s="802" t="s">
        <v>190</v>
      </c>
      <c r="C237" s="803"/>
      <c r="D237" s="803"/>
      <c r="E237" s="803"/>
      <c r="F237" s="804"/>
      <c r="G237" s="206">
        <f>SUM(G232:G236)</f>
        <v>0</v>
      </c>
      <c r="H237" s="206">
        <f>SUM(H232:H236)</f>
        <v>0</v>
      </c>
      <c r="I237" s="209">
        <f>SUM(I232:I236)</f>
        <v>0</v>
      </c>
      <c r="J237" s="208"/>
      <c r="K237" s="207"/>
    </row>
    <row r="238" spans="1:11" ht="17" customHeight="1">
      <c r="A238" s="724"/>
      <c r="B238" s="783"/>
      <c r="C238" s="784"/>
      <c r="D238" s="784"/>
      <c r="E238" s="784"/>
      <c r="F238" s="784"/>
      <c r="G238" s="784"/>
      <c r="H238" s="784"/>
      <c r="I238" s="784"/>
      <c r="J238" s="784"/>
      <c r="K238" s="785"/>
    </row>
    <row r="239" spans="1:11" ht="32" customHeight="1">
      <c r="A239" s="724"/>
      <c r="B239" s="681" t="s">
        <v>118</v>
      </c>
      <c r="C239" s="682"/>
      <c r="D239" s="682"/>
      <c r="E239" s="683"/>
      <c r="F239" s="780">
        <f>(F223*G223)+(F224*G224)+(F225*G225)+(F226*G226)+(F227*G227)+(F232*G232)+(F233*G233)+(F234*G234)+(F235*G235)+(F236*G236)</f>
        <v>0</v>
      </c>
      <c r="G239" s="781"/>
      <c r="H239" s="781"/>
      <c r="I239" s="781"/>
      <c r="J239" s="781"/>
      <c r="K239" s="782"/>
    </row>
    <row r="240" spans="1:11" ht="17" customHeight="1">
      <c r="A240" s="724"/>
      <c r="B240" s="681" t="s">
        <v>82</v>
      </c>
      <c r="C240" s="682"/>
      <c r="D240" s="682"/>
      <c r="E240" s="683"/>
      <c r="F240" s="780">
        <f>F239-I211</f>
        <v>0</v>
      </c>
      <c r="G240" s="781"/>
      <c r="H240" s="781"/>
      <c r="I240" s="781"/>
      <c r="J240" s="781"/>
      <c r="K240" s="782"/>
    </row>
    <row r="241" spans="1:11" ht="31" customHeight="1">
      <c r="A241" s="724"/>
      <c r="B241" s="774" t="s">
        <v>175</v>
      </c>
      <c r="C241" s="775"/>
      <c r="D241" s="775"/>
      <c r="E241" s="775"/>
      <c r="F241" s="775"/>
      <c r="G241" s="775"/>
      <c r="H241" s="775"/>
      <c r="I241" s="775"/>
      <c r="J241" s="775"/>
      <c r="K241" s="776"/>
    </row>
    <row r="242" spans="1:11" ht="28" customHeight="1">
      <c r="A242" s="725"/>
      <c r="B242" s="777"/>
      <c r="C242" s="778"/>
      <c r="D242" s="778"/>
      <c r="E242" s="778"/>
      <c r="F242" s="778"/>
      <c r="G242" s="778"/>
      <c r="H242" s="778"/>
      <c r="I242" s="778"/>
      <c r="J242" s="778"/>
      <c r="K242" s="779"/>
    </row>
    <row r="243" spans="1:11" ht="105" customHeight="1">
      <c r="B243" s="7"/>
      <c r="C243" s="7"/>
      <c r="D243" s="7"/>
      <c r="E243" s="7"/>
      <c r="F243" s="7"/>
      <c r="G243" s="7"/>
      <c r="H243" s="7"/>
      <c r="I243" s="7"/>
      <c r="J243" s="7"/>
    </row>
    <row r="244" spans="1:11" ht="46" customHeight="1">
      <c r="G244" s="7"/>
      <c r="H244" s="7"/>
      <c r="I244" s="7"/>
      <c r="J244" s="7"/>
    </row>
    <row r="245" spans="1:11">
      <c r="G245" s="7"/>
      <c r="H245" s="7"/>
      <c r="I245" s="7"/>
      <c r="J245" s="7"/>
    </row>
    <row r="246" spans="1:11" ht="10" customHeight="1"/>
  </sheetData>
  <sheetProtection sheet="1" formatCells="0" formatColumns="0" formatRows="0"/>
  <dataConsolidate/>
  <mergeCells count="377">
    <mergeCell ref="L141:M141"/>
    <mergeCell ref="B122:D122"/>
    <mergeCell ref="B149:D149"/>
    <mergeCell ref="B128:D128"/>
    <mergeCell ref="L126:M126"/>
    <mergeCell ref="P175:Q175"/>
    <mergeCell ref="P176:Q176"/>
    <mergeCell ref="P177:Q177"/>
    <mergeCell ref="P178:Q178"/>
    <mergeCell ref="B139:D139"/>
    <mergeCell ref="B140:D140"/>
    <mergeCell ref="B141:D141"/>
    <mergeCell ref="B142:D142"/>
    <mergeCell ref="B143:D143"/>
    <mergeCell ref="B144:D144"/>
    <mergeCell ref="B145:D145"/>
    <mergeCell ref="B146:D146"/>
    <mergeCell ref="B147:D147"/>
    <mergeCell ref="B148:D148"/>
    <mergeCell ref="B175:D175"/>
    <mergeCell ref="B176:D176"/>
    <mergeCell ref="B177:D177"/>
    <mergeCell ref="B178:D178"/>
    <mergeCell ref="B160:O160"/>
    <mergeCell ref="B154:O154"/>
    <mergeCell ref="B153:O153"/>
    <mergeCell ref="B152:O152"/>
    <mergeCell ref="B155:O155"/>
    <mergeCell ref="B156:O156"/>
    <mergeCell ref="B1:H1"/>
    <mergeCell ref="B83:H83"/>
    <mergeCell ref="B21:H21"/>
    <mergeCell ref="G22:H22"/>
    <mergeCell ref="G23:H23"/>
    <mergeCell ref="G24:H24"/>
    <mergeCell ref="B25:H25"/>
    <mergeCell ref="B63:H63"/>
    <mergeCell ref="B64:H65"/>
    <mergeCell ref="B71:H71"/>
    <mergeCell ref="B72:H72"/>
    <mergeCell ref="B81:H81"/>
    <mergeCell ref="B41:H41"/>
    <mergeCell ref="B42:H42"/>
    <mergeCell ref="B43:H43"/>
    <mergeCell ref="G5:H5"/>
    <mergeCell ref="G6:H6"/>
    <mergeCell ref="G7:H7"/>
    <mergeCell ref="E8:H8"/>
    <mergeCell ref="E9:H9"/>
    <mergeCell ref="E6:F6"/>
    <mergeCell ref="E19:F19"/>
    <mergeCell ref="B8:D8"/>
    <mergeCell ref="B11:H11"/>
    <mergeCell ref="A152:A183"/>
    <mergeCell ref="B179:D179"/>
    <mergeCell ref="B180:D180"/>
    <mergeCell ref="B182:D182"/>
    <mergeCell ref="B166:D166"/>
    <mergeCell ref="B167:D167"/>
    <mergeCell ref="B168:D168"/>
    <mergeCell ref="B169:D169"/>
    <mergeCell ref="B170:D170"/>
    <mergeCell ref="B171:D171"/>
    <mergeCell ref="B172:D172"/>
    <mergeCell ref="B173:D173"/>
    <mergeCell ref="B174:D174"/>
    <mergeCell ref="B163:D163"/>
    <mergeCell ref="B164:D165"/>
    <mergeCell ref="B162:H162"/>
    <mergeCell ref="B9:D9"/>
    <mergeCell ref="B3:D3"/>
    <mergeCell ref="B4:D4"/>
    <mergeCell ref="E3:H3"/>
    <mergeCell ref="E4:H4"/>
    <mergeCell ref="B157:O157"/>
    <mergeCell ref="H164:H165"/>
    <mergeCell ref="L162:M162"/>
    <mergeCell ref="N162:O162"/>
    <mergeCell ref="K164:K165"/>
    <mergeCell ref="L165:M165"/>
    <mergeCell ref="B50:C50"/>
    <mergeCell ref="B56:C56"/>
    <mergeCell ref="B51:C51"/>
    <mergeCell ref="B52:C52"/>
    <mergeCell ref="B53:C53"/>
    <mergeCell ref="B54:C54"/>
    <mergeCell ref="B55:C55"/>
    <mergeCell ref="B67:G67"/>
    <mergeCell ref="J57:K57"/>
    <mergeCell ref="J50:K50"/>
    <mergeCell ref="J63:P63"/>
    <mergeCell ref="J51:K51"/>
    <mergeCell ref="J52:K52"/>
    <mergeCell ref="G15:H15"/>
    <mergeCell ref="G16:H16"/>
    <mergeCell ref="G17:H17"/>
    <mergeCell ref="B48:C48"/>
    <mergeCell ref="B19:D19"/>
    <mergeCell ref="A1:A9"/>
    <mergeCell ref="H116:H119"/>
    <mergeCell ref="I116:I119"/>
    <mergeCell ref="F118:F119"/>
    <mergeCell ref="A21:A81"/>
    <mergeCell ref="B46:C46"/>
    <mergeCell ref="B57:C57"/>
    <mergeCell ref="B58:C58"/>
    <mergeCell ref="B60:G60"/>
    <mergeCell ref="B14:D14"/>
    <mergeCell ref="E14:F14"/>
    <mergeCell ref="B15:D15"/>
    <mergeCell ref="E15:F15"/>
    <mergeCell ref="B16:D16"/>
    <mergeCell ref="E16:F16"/>
    <mergeCell ref="E24:F24"/>
    <mergeCell ref="B5:D7"/>
    <mergeCell ref="E5:F5"/>
    <mergeCell ref="E7:F7"/>
    <mergeCell ref="J25:P25"/>
    <mergeCell ref="B66:G66"/>
    <mergeCell ref="E23:F23"/>
    <mergeCell ref="F164:F165"/>
    <mergeCell ref="B117:D117"/>
    <mergeCell ref="J39:K39"/>
    <mergeCell ref="J40:K40"/>
    <mergeCell ref="J41:P41"/>
    <mergeCell ref="A11:A19"/>
    <mergeCell ref="A83:A93"/>
    <mergeCell ref="B79:G79"/>
    <mergeCell ref="B26:B28"/>
    <mergeCell ref="C26:C28"/>
    <mergeCell ref="B45:C45"/>
    <mergeCell ref="B61:G61"/>
    <mergeCell ref="A95:A109"/>
    <mergeCell ref="B22:D24"/>
    <mergeCell ref="B39:C39"/>
    <mergeCell ref="B40:C40"/>
    <mergeCell ref="B17:D17"/>
    <mergeCell ref="E17:F17"/>
    <mergeCell ref="B18:D18"/>
    <mergeCell ref="E18:F18"/>
    <mergeCell ref="B59:C59"/>
    <mergeCell ref="J43:P43"/>
    <mergeCell ref="J45:K45"/>
    <mergeCell ref="J42:P42"/>
    <mergeCell ref="N165:O165"/>
    <mergeCell ref="L163:M163"/>
    <mergeCell ref="J53:K53"/>
    <mergeCell ref="J54:K54"/>
    <mergeCell ref="J55:K55"/>
    <mergeCell ref="J47:K47"/>
    <mergeCell ref="J49:K49"/>
    <mergeCell ref="J56:K56"/>
    <mergeCell ref="J59:K59"/>
    <mergeCell ref="J58:K58"/>
    <mergeCell ref="J60:O60"/>
    <mergeCell ref="J61:O61"/>
    <mergeCell ref="L127:M127"/>
    <mergeCell ref="L128:M128"/>
    <mergeCell ref="L135:M135"/>
    <mergeCell ref="L136:M136"/>
    <mergeCell ref="L137:M137"/>
    <mergeCell ref="L123:M123"/>
    <mergeCell ref="L138:M138"/>
    <mergeCell ref="L149:M149"/>
    <mergeCell ref="L142:M142"/>
    <mergeCell ref="A111:A150"/>
    <mergeCell ref="B127:D127"/>
    <mergeCell ref="B233:E233"/>
    <mergeCell ref="L219:O219"/>
    <mergeCell ref="B217:G217"/>
    <mergeCell ref="B218:G218"/>
    <mergeCell ref="B237:F237"/>
    <mergeCell ref="B183:K183"/>
    <mergeCell ref="E118:E119"/>
    <mergeCell ref="B210:G210"/>
    <mergeCell ref="A202:A214"/>
    <mergeCell ref="B202:I202"/>
    <mergeCell ref="B203:I204"/>
    <mergeCell ref="B213:H213"/>
    <mergeCell ref="B161:O161"/>
    <mergeCell ref="B123:D123"/>
    <mergeCell ref="B124:D124"/>
    <mergeCell ref="B120:D120"/>
    <mergeCell ref="B121:D121"/>
    <mergeCell ref="L143:M143"/>
    <mergeCell ref="L144:M144"/>
    <mergeCell ref="L145:M145"/>
    <mergeCell ref="L146:M146"/>
    <mergeCell ref="L147:M147"/>
    <mergeCell ref="B236:E236"/>
    <mergeCell ref="J220:K220"/>
    <mergeCell ref="J221:K221"/>
    <mergeCell ref="J230:K230"/>
    <mergeCell ref="J79:O79"/>
    <mergeCell ref="B239:E239"/>
    <mergeCell ref="B91:E91"/>
    <mergeCell ref="B206:G206"/>
    <mergeCell ref="B207:G207"/>
    <mergeCell ref="B208:G208"/>
    <mergeCell ref="B227:E227"/>
    <mergeCell ref="B181:D181"/>
    <mergeCell ref="B92:E92"/>
    <mergeCell ref="B101:D101"/>
    <mergeCell ref="B102:D102"/>
    <mergeCell ref="L148:M148"/>
    <mergeCell ref="L129:M129"/>
    <mergeCell ref="L130:M130"/>
    <mergeCell ref="L131:M131"/>
    <mergeCell ref="L132:M132"/>
    <mergeCell ref="L133:M133"/>
    <mergeCell ref="L134:M134"/>
    <mergeCell ref="L139:M139"/>
    <mergeCell ref="L140:M140"/>
    <mergeCell ref="D28:H28"/>
    <mergeCell ref="K26:K28"/>
    <mergeCell ref="B49:C49"/>
    <mergeCell ref="D27:H27"/>
    <mergeCell ref="J26:J28"/>
    <mergeCell ref="J48:K48"/>
    <mergeCell ref="B44:C44"/>
    <mergeCell ref="G14:H14"/>
    <mergeCell ref="J22:L24"/>
    <mergeCell ref="B47:C47"/>
    <mergeCell ref="J21:P21"/>
    <mergeCell ref="L27:P27"/>
    <mergeCell ref="L28:P28"/>
    <mergeCell ref="J44:K44"/>
    <mergeCell ref="G18:H18"/>
    <mergeCell ref="G19:H19"/>
    <mergeCell ref="J46:K46"/>
    <mergeCell ref="M22:N22"/>
    <mergeCell ref="O22:P22"/>
    <mergeCell ref="M24:N24"/>
    <mergeCell ref="O24:P24"/>
    <mergeCell ref="M23:N23"/>
    <mergeCell ref="O23:P23"/>
    <mergeCell ref="E22:F22"/>
    <mergeCell ref="B107:D107"/>
    <mergeCell ref="B106:D106"/>
    <mergeCell ref="B95:H95"/>
    <mergeCell ref="B96:H96"/>
    <mergeCell ref="B97:H97"/>
    <mergeCell ref="B118:D119"/>
    <mergeCell ref="J62:O62"/>
    <mergeCell ref="J64:P65"/>
    <mergeCell ref="J71:P71"/>
    <mergeCell ref="B69:G69"/>
    <mergeCell ref="J69:O69"/>
    <mergeCell ref="B70:G70"/>
    <mergeCell ref="J70:O70"/>
    <mergeCell ref="J67:O67"/>
    <mergeCell ref="J68:O68"/>
    <mergeCell ref="J66:O66"/>
    <mergeCell ref="B68:G68"/>
    <mergeCell ref="J77:O77"/>
    <mergeCell ref="J72:P72"/>
    <mergeCell ref="J73:O73"/>
    <mergeCell ref="B78:G78"/>
    <mergeCell ref="B108:D108"/>
    <mergeCell ref="B62:G62"/>
    <mergeCell ref="B73:G73"/>
    <mergeCell ref="B241:K242"/>
    <mergeCell ref="F239:K239"/>
    <mergeCell ref="F240:K240"/>
    <mergeCell ref="B238:K238"/>
    <mergeCell ref="B229:K229"/>
    <mergeCell ref="B216:K216"/>
    <mergeCell ref="B219:I219"/>
    <mergeCell ref="B220:I220"/>
    <mergeCell ref="H217:I217"/>
    <mergeCell ref="H218:I218"/>
    <mergeCell ref="B235:E235"/>
    <mergeCell ref="B224:E224"/>
    <mergeCell ref="B225:E225"/>
    <mergeCell ref="B226:E226"/>
    <mergeCell ref="B222:E222"/>
    <mergeCell ref="B223:E223"/>
    <mergeCell ref="B228:F228"/>
    <mergeCell ref="B232:E232"/>
    <mergeCell ref="F230:G230"/>
    <mergeCell ref="J217:K217"/>
    <mergeCell ref="J218:K218"/>
    <mergeCell ref="J219:K219"/>
    <mergeCell ref="B240:E240"/>
    <mergeCell ref="B231:E231"/>
    <mergeCell ref="P180:Q180"/>
    <mergeCell ref="P181:Q181"/>
    <mergeCell ref="P182:Q182"/>
    <mergeCell ref="L120:M120"/>
    <mergeCell ref="L121:M121"/>
    <mergeCell ref="B125:D125"/>
    <mergeCell ref="B126:D126"/>
    <mergeCell ref="P174:Q174"/>
    <mergeCell ref="P169:Q169"/>
    <mergeCell ref="P170:Q170"/>
    <mergeCell ref="P171:Q171"/>
    <mergeCell ref="P172:Q172"/>
    <mergeCell ref="P173:Q173"/>
    <mergeCell ref="P179:Q179"/>
    <mergeCell ref="E164:E165"/>
    <mergeCell ref="J164:J165"/>
    <mergeCell ref="P168:Q168"/>
    <mergeCell ref="P167:Q167"/>
    <mergeCell ref="L122:M122"/>
    <mergeCell ref="L124:M124"/>
    <mergeCell ref="L125:M125"/>
    <mergeCell ref="B158:O158"/>
    <mergeCell ref="B159:O159"/>
    <mergeCell ref="N163:O163"/>
    <mergeCell ref="B104:D104"/>
    <mergeCell ref="B105:D105"/>
    <mergeCell ref="B99:D99"/>
    <mergeCell ref="B100:D100"/>
    <mergeCell ref="J74:O74"/>
    <mergeCell ref="J75:O75"/>
    <mergeCell ref="B80:G80"/>
    <mergeCell ref="J78:O78"/>
    <mergeCell ref="J76:O76"/>
    <mergeCell ref="B85:H86"/>
    <mergeCell ref="B74:G74"/>
    <mergeCell ref="B75:G75"/>
    <mergeCell ref="B76:G76"/>
    <mergeCell ref="B77:G77"/>
    <mergeCell ref="B89:E89"/>
    <mergeCell ref="B90:E90"/>
    <mergeCell ref="B93:G93"/>
    <mergeCell ref="B103:D103"/>
    <mergeCell ref="B87:E87"/>
    <mergeCell ref="B88:E88"/>
    <mergeCell ref="B234:E234"/>
    <mergeCell ref="F221:G221"/>
    <mergeCell ref="B212:G212"/>
    <mergeCell ref="B209:G209"/>
    <mergeCell ref="B205:G205"/>
    <mergeCell ref="G164:G165"/>
    <mergeCell ref="I164:I165"/>
    <mergeCell ref="A185:A200"/>
    <mergeCell ref="B185:H185"/>
    <mergeCell ref="B186:H186"/>
    <mergeCell ref="B187:H188"/>
    <mergeCell ref="B192:E192"/>
    <mergeCell ref="B193:E193"/>
    <mergeCell ref="B194:E194"/>
    <mergeCell ref="B197:E197"/>
    <mergeCell ref="B198:E198"/>
    <mergeCell ref="B199:E199"/>
    <mergeCell ref="B200:G200"/>
    <mergeCell ref="B189:H189"/>
    <mergeCell ref="B190:H190"/>
    <mergeCell ref="B195:E195"/>
    <mergeCell ref="B196:E196"/>
    <mergeCell ref="B191:H191"/>
    <mergeCell ref="A216:A242"/>
    <mergeCell ref="B12:H13"/>
    <mergeCell ref="B138:D138"/>
    <mergeCell ref="B137:D137"/>
    <mergeCell ref="B136:D136"/>
    <mergeCell ref="B134:D134"/>
    <mergeCell ref="B133:D133"/>
    <mergeCell ref="B132:D132"/>
    <mergeCell ref="B131:D131"/>
    <mergeCell ref="B130:D130"/>
    <mergeCell ref="B129:D129"/>
    <mergeCell ref="B135:D135"/>
    <mergeCell ref="B109:E109"/>
    <mergeCell ref="G118:G119"/>
    <mergeCell ref="B111:K111"/>
    <mergeCell ref="B112:K112"/>
    <mergeCell ref="B84:H84"/>
    <mergeCell ref="B116:G116"/>
    <mergeCell ref="B113:K113"/>
    <mergeCell ref="B114:K114"/>
    <mergeCell ref="J116:K116"/>
    <mergeCell ref="J117:K117"/>
    <mergeCell ref="J119:K119"/>
    <mergeCell ref="B98:H98"/>
    <mergeCell ref="B115:K115"/>
  </mergeCells>
  <phoneticPr fontId="5" type="noConversion"/>
  <dataValidations count="6">
    <dataValidation type="list" allowBlank="1" showInputMessage="1" showErrorMessage="1" sqref="J120:J149" xr:uid="{00000000-0002-0000-0600-000000000000}">
      <formula1>$O$119:$O$120</formula1>
    </dataValidation>
    <dataValidation type="list" allowBlank="1" showInputMessage="1" showErrorMessage="1" promptTitle="OBS" prompt="Er der udarbejdet en skriftlig individuel aftale om at timerne afspadseres?" sqref="K120:K149" xr:uid="{00000000-0002-0000-0600-000001000000}">
      <formula1>$O$119:$O$120</formula1>
    </dataValidation>
    <dataValidation type="list" allowBlank="1" showInputMessage="1" showErrorMessage="1" sqref="J166:J182 H166:H182" xr:uid="{00000000-0002-0000-0600-000002000000}">
      <formula1>$Q$162:$Q$163</formula1>
    </dataValidation>
    <dataValidation type="list" allowBlank="1" showInputMessage="1" showErrorMessage="1" sqref="M166:N182" xr:uid="{00000000-0002-0000-0600-000003000000}">
      <formula1>$R$161:$R$162</formula1>
    </dataValidation>
    <dataValidation type="list" allowBlank="1" showInputMessage="1" showErrorMessage="1" promptTitle="OBS:" prompt="Ulempetillægget er som hovedregl til udbetaling. _x000a_Er der udarbejdet en individuel skriftlig aftale omkring at ulempetillægget afspadseres?_x000a_" sqref="O166:O182" xr:uid="{00000000-0002-0000-0600-000004000000}">
      <formula1>$R$161:$R$162</formula1>
    </dataValidation>
    <dataValidation type="list" allowBlank="1" showInputMessage="1" showErrorMessage="1" promptTitle="OBS" prompt="Arbejde i weekender/søgnehelligdage anses som overarbejde, og skal så vidt muligt afspadseres i indeværende normperiode. _x000a_Er der udarbejdet en individuel skriftlig aftale om, at weekendtillægget udbetales?_x000a_" sqref="L166:L182" xr:uid="{00000000-0002-0000-0600-000005000000}">
      <formula1>$R$161:$R$162</formula1>
    </dataValidation>
  </dataValidations>
  <printOptions horizontalCentered="1"/>
  <pageMargins left="0.25" right="0.25" top="0.75" bottom="0.75" header="0.3" footer="0.3"/>
  <pageSetup paperSize="9" scale="39" fitToWidth="2" fitToHeight="3" orientation="portrait" horizontalDpi="4294967292" verticalDpi="4294967292" r:id="rId1"/>
  <rowBreaks count="5" manualBreakCount="5">
    <brk id="19" max="16383" man="1"/>
    <brk id="81" max="16383" man="1"/>
    <brk id="150" max="16383" man="1"/>
    <brk id="183" max="16" man="1"/>
    <brk id="242" max="16383" man="1"/>
  </rowBreaks>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58"/>
  <sheetViews>
    <sheetView topLeftCell="A103" workbookViewId="0">
      <selection activeCell="A119" sqref="A119:J125"/>
    </sheetView>
  </sheetViews>
  <sheetFormatPr baseColWidth="10" defaultColWidth="11" defaultRowHeight="16"/>
  <cols>
    <col min="2" max="3" width="8.83203125" customWidth="1"/>
    <col min="4" max="5" width="8.6640625" customWidth="1"/>
    <col min="6" max="10" width="13.33203125" customWidth="1"/>
    <col min="12" max="13" width="8.83203125" customWidth="1"/>
    <col min="14" max="15" width="8.6640625" customWidth="1"/>
    <col min="16" max="20" width="13.33203125" customWidth="1"/>
  </cols>
  <sheetData>
    <row r="1" spans="1:20" ht="26">
      <c r="A1" s="1042" t="s">
        <v>93</v>
      </c>
      <c r="B1" s="1043"/>
      <c r="C1" s="1043"/>
      <c r="D1" s="1043"/>
      <c r="E1" s="1040">
        <f>Arbejdstidsoversigt!E4</f>
        <v>0</v>
      </c>
      <c r="F1" s="1040"/>
      <c r="G1" s="1040"/>
      <c r="H1" s="1040"/>
      <c r="I1" s="1040"/>
      <c r="J1" s="1041"/>
    </row>
    <row r="2" spans="1:20" ht="27" thickBot="1">
      <c r="A2" s="177" t="s">
        <v>94</v>
      </c>
      <c r="B2" s="178"/>
      <c r="C2" s="178"/>
      <c r="D2" s="178"/>
      <c r="E2" s="1044" t="str">
        <f>Arbejdstidsoversigt!F2</f>
        <v>2019/20</v>
      </c>
      <c r="F2" s="1044"/>
      <c r="G2" s="1044"/>
      <c r="H2" s="1044"/>
      <c r="I2" s="1044"/>
      <c r="J2" s="1045"/>
    </row>
    <row r="3" spans="1:20" ht="19" customHeight="1" thickBot="1">
      <c r="A3" s="68"/>
      <c r="B3" s="68"/>
      <c r="C3" s="68"/>
      <c r="D3" s="68"/>
      <c r="E3" s="68"/>
      <c r="F3" s="69"/>
      <c r="G3" s="69"/>
      <c r="H3" s="69"/>
      <c r="I3" s="69"/>
      <c r="J3" s="70"/>
    </row>
    <row r="4" spans="1:20" ht="30" customHeight="1">
      <c r="A4" s="1037" t="s">
        <v>193</v>
      </c>
      <c r="B4" s="1068" t="s">
        <v>114</v>
      </c>
      <c r="C4" s="1058"/>
      <c r="D4" s="1058"/>
      <c r="E4" s="1058"/>
      <c r="F4" s="1058"/>
      <c r="G4" s="1058"/>
      <c r="H4" s="1058"/>
      <c r="I4" s="1058"/>
      <c r="J4" s="1059"/>
      <c r="K4" s="1037" t="str">
        <f>A4</f>
        <v>Skoleskemadage, fagdage og emnedage.</v>
      </c>
      <c r="L4" s="1058" t="str">
        <f>B4</f>
        <v>Arbejdsplan(skoleskema)</v>
      </c>
      <c r="M4" s="1058"/>
      <c r="N4" s="1058"/>
      <c r="O4" s="1058"/>
      <c r="P4" s="1058"/>
      <c r="Q4" s="1058"/>
      <c r="R4" s="1058"/>
      <c r="S4" s="1058"/>
      <c r="T4" s="1059"/>
    </row>
    <row r="5" spans="1:20" ht="30" customHeight="1">
      <c r="A5" s="1038"/>
      <c r="B5" s="940" t="str">
        <f>Arbejdstidsoversigt!B22</f>
        <v>Gældende for perioden:</v>
      </c>
      <c r="C5" s="941"/>
      <c r="D5" s="941"/>
      <c r="E5" s="941"/>
      <c r="F5" s="941"/>
      <c r="G5" s="1060">
        <f>Arbejdstidsoversigt!E24</f>
        <v>0</v>
      </c>
      <c r="H5" s="1060"/>
      <c r="I5" s="1060">
        <f>Arbejdstidsoversigt!G24</f>
        <v>0</v>
      </c>
      <c r="J5" s="1061"/>
      <c r="K5" s="1038"/>
      <c r="L5" s="941" t="str">
        <f>Arbejdstidsoversigt!J22</f>
        <v>Gældende for perioden:</v>
      </c>
      <c r="M5" s="941"/>
      <c r="N5" s="941"/>
      <c r="O5" s="941"/>
      <c r="P5" s="941"/>
      <c r="Q5" s="1060">
        <f>Arbejdstidsoversigt!M24</f>
        <v>0</v>
      </c>
      <c r="R5" s="1060"/>
      <c r="S5" s="1060">
        <f>Arbejdstidsoversigt!O24</f>
        <v>0</v>
      </c>
      <c r="T5" s="1061"/>
    </row>
    <row r="6" spans="1:20" ht="64" customHeight="1">
      <c r="A6" s="1038"/>
      <c r="B6" s="936" t="s">
        <v>192</v>
      </c>
      <c r="C6" s="937"/>
      <c r="D6" s="937"/>
      <c r="E6" s="937"/>
      <c r="F6" s="937"/>
      <c r="G6" s="937"/>
      <c r="H6" s="937"/>
      <c r="I6" s="937"/>
      <c r="J6" s="1062"/>
      <c r="K6" s="1038"/>
      <c r="L6" s="937" t="s">
        <v>191</v>
      </c>
      <c r="M6" s="937"/>
      <c r="N6" s="937"/>
      <c r="O6" s="937"/>
      <c r="P6" s="937"/>
      <c r="Q6" s="937"/>
      <c r="R6" s="937"/>
      <c r="S6" s="937"/>
      <c r="T6" s="1062"/>
    </row>
    <row r="7" spans="1:20" ht="25" customHeight="1">
      <c r="A7" s="1038"/>
      <c r="B7" s="36" t="s">
        <v>47</v>
      </c>
      <c r="C7" s="36" t="s">
        <v>91</v>
      </c>
      <c r="D7" s="55" t="s">
        <v>89</v>
      </c>
      <c r="E7" s="55" t="s">
        <v>90</v>
      </c>
      <c r="F7" s="49" t="s">
        <v>49</v>
      </c>
      <c r="G7" s="49" t="s">
        <v>50</v>
      </c>
      <c r="H7" s="49" t="s">
        <v>51</v>
      </c>
      <c r="I7" s="49" t="s">
        <v>52</v>
      </c>
      <c r="J7" s="67" t="s">
        <v>53</v>
      </c>
      <c r="K7" s="1038"/>
      <c r="L7" s="187" t="s">
        <v>83</v>
      </c>
      <c r="M7" s="84" t="str">
        <f t="shared" ref="M7:T7" si="0">C7</f>
        <v>Antal min</v>
      </c>
      <c r="N7" s="83" t="str">
        <f t="shared" si="0"/>
        <v>Kl. Fra:</v>
      </c>
      <c r="O7" s="83" t="str">
        <f t="shared" si="0"/>
        <v>Kl. Til:</v>
      </c>
      <c r="P7" s="83" t="str">
        <f t="shared" si="0"/>
        <v>Mandag</v>
      </c>
      <c r="Q7" s="83" t="str">
        <f t="shared" si="0"/>
        <v>Tirsdag</v>
      </c>
      <c r="R7" s="83" t="str">
        <f t="shared" si="0"/>
        <v>Onsdag</v>
      </c>
      <c r="S7" s="83" t="str">
        <f t="shared" si="0"/>
        <v>Torsdag</v>
      </c>
      <c r="T7" s="67" t="str">
        <f t="shared" si="0"/>
        <v>Fredag</v>
      </c>
    </row>
    <row r="8" spans="1:20" ht="15" customHeight="1">
      <c r="A8" s="1038"/>
      <c r="B8" s="1056" t="s">
        <v>97</v>
      </c>
      <c r="C8" s="1057"/>
      <c r="D8" s="79"/>
      <c r="E8" s="1020"/>
      <c r="F8" s="1021"/>
      <c r="G8" s="1021"/>
      <c r="H8" s="1021"/>
      <c r="I8" s="1021"/>
      <c r="J8" s="1022"/>
      <c r="K8" s="1038"/>
      <c r="L8" s="1063" t="s">
        <v>97</v>
      </c>
      <c r="M8" s="1057"/>
      <c r="N8" s="79"/>
      <c r="O8" s="1020"/>
      <c r="P8" s="1021"/>
      <c r="Q8" s="1021"/>
      <c r="R8" s="1021"/>
      <c r="S8" s="1021"/>
      <c r="T8" s="1022"/>
    </row>
    <row r="9" spans="1:20" ht="33" customHeight="1">
      <c r="A9" s="1038"/>
      <c r="B9" s="34">
        <v>1</v>
      </c>
      <c r="C9" s="80"/>
      <c r="D9" s="64">
        <f>D8</f>
        <v>0</v>
      </c>
      <c r="E9" s="64">
        <f>D9+C9</f>
        <v>0</v>
      </c>
      <c r="F9" s="98">
        <f>Arbejdstidsoversigt!D29</f>
        <v>0</v>
      </c>
      <c r="G9" s="99">
        <f>Arbejdstidsoversigt!E29</f>
        <v>0</v>
      </c>
      <c r="H9" s="98">
        <f>Arbejdstidsoversigt!F29</f>
        <v>0</v>
      </c>
      <c r="I9" s="98">
        <f>Arbejdstidsoversigt!G29</f>
        <v>0</v>
      </c>
      <c r="J9" s="100">
        <f>Arbejdstidsoversigt!H29</f>
        <v>0</v>
      </c>
      <c r="K9" s="1038"/>
      <c r="L9" s="187">
        <v>1</v>
      </c>
      <c r="M9" s="80"/>
      <c r="N9" s="64">
        <f>N8</f>
        <v>0</v>
      </c>
      <c r="O9" s="64">
        <f>N9+M9</f>
        <v>0</v>
      </c>
      <c r="P9" s="98">
        <f>Arbejdstidsoversigt!L29</f>
        <v>0</v>
      </c>
      <c r="Q9" s="98">
        <f>Arbejdstidsoversigt!M29</f>
        <v>0</v>
      </c>
      <c r="R9" s="98">
        <f>Arbejdstidsoversigt!N29</f>
        <v>0</v>
      </c>
      <c r="S9" s="98">
        <f>Arbejdstidsoversigt!O29</f>
        <v>0</v>
      </c>
      <c r="T9" s="100">
        <f>Arbejdstidsoversigt!P29</f>
        <v>0</v>
      </c>
    </row>
    <row r="10" spans="1:20" ht="15" customHeight="1">
      <c r="A10" s="1038"/>
      <c r="B10" s="50"/>
      <c r="C10" s="80"/>
      <c r="D10" s="65">
        <f t="shared" ref="D10:D27" si="1">E9</f>
        <v>0</v>
      </c>
      <c r="E10" s="65">
        <f>D10+C10</f>
        <v>0</v>
      </c>
      <c r="F10" s="101"/>
      <c r="G10" s="101"/>
      <c r="H10" s="101"/>
      <c r="I10" s="101"/>
      <c r="J10" s="101"/>
      <c r="K10" s="1038"/>
      <c r="L10" s="210"/>
      <c r="M10" s="80"/>
      <c r="N10" s="65">
        <f t="shared" ref="N10:N27" si="2">O9</f>
        <v>0</v>
      </c>
      <c r="O10" s="65">
        <f>N10+M10</f>
        <v>0</v>
      </c>
      <c r="P10" s="101"/>
      <c r="Q10" s="101"/>
      <c r="R10" s="101"/>
      <c r="S10" s="101"/>
      <c r="T10" s="102"/>
    </row>
    <row r="11" spans="1:20" ht="33" customHeight="1">
      <c r="A11" s="1038"/>
      <c r="B11" s="34">
        <v>2</v>
      </c>
      <c r="C11" s="80"/>
      <c r="D11" s="64">
        <f t="shared" si="1"/>
        <v>0</v>
      </c>
      <c r="E11" s="64">
        <f>D11+C11</f>
        <v>0</v>
      </c>
      <c r="F11" s="98">
        <f>Arbejdstidsoversigt!D30</f>
        <v>0</v>
      </c>
      <c r="G11" s="98">
        <f>Arbejdstidsoversigt!E30</f>
        <v>0</v>
      </c>
      <c r="H11" s="98">
        <f>Arbejdstidsoversigt!F30</f>
        <v>0</v>
      </c>
      <c r="I11" s="98">
        <f>Arbejdstidsoversigt!G30</f>
        <v>0</v>
      </c>
      <c r="J11" s="100">
        <f>Arbejdstidsoversigt!H30</f>
        <v>0</v>
      </c>
      <c r="K11" s="1038"/>
      <c r="L11" s="187">
        <v>2</v>
      </c>
      <c r="M11" s="80"/>
      <c r="N11" s="64">
        <f t="shared" si="2"/>
        <v>0</v>
      </c>
      <c r="O11" s="64">
        <f>N11+M11</f>
        <v>0</v>
      </c>
      <c r="P11" s="98">
        <f>Arbejdstidsoversigt!L30</f>
        <v>0</v>
      </c>
      <c r="Q11" s="98">
        <f>Arbejdstidsoversigt!M30</f>
        <v>0</v>
      </c>
      <c r="R11" s="98">
        <f>Arbejdstidsoversigt!N30</f>
        <v>0</v>
      </c>
      <c r="S11" s="98">
        <f>Arbejdstidsoversigt!O30</f>
        <v>0</v>
      </c>
      <c r="T11" s="100">
        <f>Arbejdstidsoversigt!P30</f>
        <v>0</v>
      </c>
    </row>
    <row r="12" spans="1:20" ht="15" customHeight="1">
      <c r="A12" s="1038"/>
      <c r="B12" s="50"/>
      <c r="C12" s="80"/>
      <c r="D12" s="65">
        <f t="shared" si="1"/>
        <v>0</v>
      </c>
      <c r="E12" s="65">
        <f t="shared" ref="E12:E27" si="3">D12+C12</f>
        <v>0</v>
      </c>
      <c r="F12" s="101"/>
      <c r="G12" s="101"/>
      <c r="H12" s="101"/>
      <c r="I12" s="101"/>
      <c r="J12" s="101"/>
      <c r="K12" s="1038"/>
      <c r="L12" s="210"/>
      <c r="M12" s="80"/>
      <c r="N12" s="65">
        <f t="shared" si="2"/>
        <v>0</v>
      </c>
      <c r="O12" s="65">
        <f t="shared" ref="O12:O27" si="4">N12+M12</f>
        <v>0</v>
      </c>
      <c r="P12" s="101"/>
      <c r="Q12" s="101"/>
      <c r="R12" s="101"/>
      <c r="S12" s="101"/>
      <c r="T12" s="102"/>
    </row>
    <row r="13" spans="1:20" ht="33" customHeight="1">
      <c r="A13" s="1038"/>
      <c r="B13" s="34">
        <v>3</v>
      </c>
      <c r="C13" s="80"/>
      <c r="D13" s="64">
        <f t="shared" si="1"/>
        <v>0</v>
      </c>
      <c r="E13" s="64">
        <f t="shared" si="3"/>
        <v>0</v>
      </c>
      <c r="F13" s="98">
        <f>Arbejdstidsoversigt!D31</f>
        <v>0</v>
      </c>
      <c r="G13" s="98">
        <f>Arbejdstidsoversigt!E31</f>
        <v>0</v>
      </c>
      <c r="H13" s="98">
        <f>Arbejdstidsoversigt!F31</f>
        <v>0</v>
      </c>
      <c r="I13" s="98">
        <f>Arbejdstidsoversigt!G31</f>
        <v>0</v>
      </c>
      <c r="J13" s="100">
        <f>Arbejdstidsoversigt!H31</f>
        <v>0</v>
      </c>
      <c r="K13" s="1038"/>
      <c r="L13" s="187">
        <v>3</v>
      </c>
      <c r="M13" s="80"/>
      <c r="N13" s="64">
        <f t="shared" si="2"/>
        <v>0</v>
      </c>
      <c r="O13" s="64">
        <f t="shared" si="4"/>
        <v>0</v>
      </c>
      <c r="P13" s="98">
        <f>Arbejdstidsoversigt!L31</f>
        <v>0</v>
      </c>
      <c r="Q13" s="98">
        <f>Arbejdstidsoversigt!M31</f>
        <v>0</v>
      </c>
      <c r="R13" s="98">
        <f>Arbejdstidsoversigt!N31</f>
        <v>0</v>
      </c>
      <c r="S13" s="98">
        <f>Arbejdstidsoversigt!O31</f>
        <v>0</v>
      </c>
      <c r="T13" s="100">
        <f>Arbejdstidsoversigt!P31</f>
        <v>0</v>
      </c>
    </row>
    <row r="14" spans="1:20" ht="15" customHeight="1">
      <c r="A14" s="1038"/>
      <c r="B14" s="50"/>
      <c r="C14" s="80"/>
      <c r="D14" s="65">
        <f t="shared" si="1"/>
        <v>0</v>
      </c>
      <c r="E14" s="65">
        <f t="shared" si="3"/>
        <v>0</v>
      </c>
      <c r="F14" s="101"/>
      <c r="G14" s="101"/>
      <c r="H14" s="101"/>
      <c r="I14" s="101"/>
      <c r="J14" s="101"/>
      <c r="K14" s="1038"/>
      <c r="L14" s="210"/>
      <c r="M14" s="80"/>
      <c r="N14" s="65">
        <f t="shared" si="2"/>
        <v>0</v>
      </c>
      <c r="O14" s="65">
        <f t="shared" si="4"/>
        <v>0</v>
      </c>
      <c r="P14" s="101"/>
      <c r="Q14" s="101"/>
      <c r="R14" s="101"/>
      <c r="S14" s="101"/>
      <c r="T14" s="102"/>
    </row>
    <row r="15" spans="1:20" ht="33" customHeight="1">
      <c r="A15" s="1038"/>
      <c r="B15" s="34">
        <v>4</v>
      </c>
      <c r="C15" s="80"/>
      <c r="D15" s="64">
        <f t="shared" si="1"/>
        <v>0</v>
      </c>
      <c r="E15" s="64">
        <f t="shared" si="3"/>
        <v>0</v>
      </c>
      <c r="F15" s="98">
        <f>Arbejdstidsoversigt!D32</f>
        <v>0</v>
      </c>
      <c r="G15" s="98">
        <f>Arbejdstidsoversigt!E32</f>
        <v>0</v>
      </c>
      <c r="H15" s="98">
        <f>Arbejdstidsoversigt!F32</f>
        <v>0</v>
      </c>
      <c r="I15" s="98">
        <f>Arbejdstidsoversigt!G32</f>
        <v>0</v>
      </c>
      <c r="J15" s="100">
        <f>Arbejdstidsoversigt!H32</f>
        <v>0</v>
      </c>
      <c r="K15" s="1038"/>
      <c r="L15" s="187">
        <v>4</v>
      </c>
      <c r="M15" s="80"/>
      <c r="N15" s="64">
        <f t="shared" si="2"/>
        <v>0</v>
      </c>
      <c r="O15" s="64">
        <f t="shared" si="4"/>
        <v>0</v>
      </c>
      <c r="P15" s="98">
        <f>Arbejdstidsoversigt!L32</f>
        <v>0</v>
      </c>
      <c r="Q15" s="98">
        <f>Arbejdstidsoversigt!M32</f>
        <v>0</v>
      </c>
      <c r="R15" s="98">
        <f>Arbejdstidsoversigt!N32</f>
        <v>0</v>
      </c>
      <c r="S15" s="98">
        <f>Arbejdstidsoversigt!O32</f>
        <v>0</v>
      </c>
      <c r="T15" s="100">
        <f>Arbejdstidsoversigt!P32</f>
        <v>0</v>
      </c>
    </row>
    <row r="16" spans="1:20" ht="15" customHeight="1">
      <c r="A16" s="1038"/>
      <c r="B16" s="50"/>
      <c r="C16" s="80"/>
      <c r="D16" s="65">
        <f t="shared" si="1"/>
        <v>0</v>
      </c>
      <c r="E16" s="65">
        <f t="shared" si="3"/>
        <v>0</v>
      </c>
      <c r="F16" s="101"/>
      <c r="G16" s="101"/>
      <c r="H16" s="101"/>
      <c r="I16" s="101"/>
      <c r="J16" s="102"/>
      <c r="K16" s="1038"/>
      <c r="L16" s="210"/>
      <c r="M16" s="80"/>
      <c r="N16" s="65">
        <f t="shared" si="2"/>
        <v>0</v>
      </c>
      <c r="O16" s="65">
        <f t="shared" si="4"/>
        <v>0</v>
      </c>
      <c r="P16" s="101"/>
      <c r="Q16" s="101"/>
      <c r="R16" s="101"/>
      <c r="S16" s="101"/>
      <c r="T16" s="102"/>
    </row>
    <row r="17" spans="1:20" ht="33" customHeight="1">
      <c r="A17" s="1038"/>
      <c r="B17" s="34">
        <v>5</v>
      </c>
      <c r="C17" s="80"/>
      <c r="D17" s="64">
        <f t="shared" si="1"/>
        <v>0</v>
      </c>
      <c r="E17" s="64">
        <f t="shared" si="3"/>
        <v>0</v>
      </c>
      <c r="F17" s="98">
        <f>Arbejdstidsoversigt!D33</f>
        <v>0</v>
      </c>
      <c r="G17" s="98">
        <f>Arbejdstidsoversigt!E33</f>
        <v>0</v>
      </c>
      <c r="H17" s="98">
        <f>Arbejdstidsoversigt!F33</f>
        <v>0</v>
      </c>
      <c r="I17" s="98">
        <f>Arbejdstidsoversigt!G33</f>
        <v>0</v>
      </c>
      <c r="J17" s="100">
        <f>Arbejdstidsoversigt!H33</f>
        <v>0</v>
      </c>
      <c r="K17" s="1038"/>
      <c r="L17" s="187">
        <v>5</v>
      </c>
      <c r="M17" s="80"/>
      <c r="N17" s="64">
        <f t="shared" si="2"/>
        <v>0</v>
      </c>
      <c r="O17" s="64">
        <f t="shared" si="4"/>
        <v>0</v>
      </c>
      <c r="P17" s="98">
        <f>Arbejdstidsoversigt!L33</f>
        <v>0</v>
      </c>
      <c r="Q17" s="98">
        <f>Arbejdstidsoversigt!M33</f>
        <v>0</v>
      </c>
      <c r="R17" s="98">
        <f>Arbejdstidsoversigt!N33</f>
        <v>0</v>
      </c>
      <c r="S17" s="98">
        <f>Arbejdstidsoversigt!O33</f>
        <v>0</v>
      </c>
      <c r="T17" s="100">
        <f>Arbejdstidsoversigt!P33</f>
        <v>0</v>
      </c>
    </row>
    <row r="18" spans="1:20" ht="15" customHeight="1">
      <c r="A18" s="1038"/>
      <c r="B18" s="50"/>
      <c r="C18" s="80"/>
      <c r="D18" s="65">
        <f t="shared" si="1"/>
        <v>0</v>
      </c>
      <c r="E18" s="65">
        <f t="shared" si="3"/>
        <v>0</v>
      </c>
      <c r="F18" s="101"/>
      <c r="G18" s="101"/>
      <c r="H18" s="101"/>
      <c r="I18" s="101"/>
      <c r="J18" s="101"/>
      <c r="K18" s="1038"/>
      <c r="L18" s="210"/>
      <c r="M18" s="80"/>
      <c r="N18" s="65">
        <f t="shared" si="2"/>
        <v>0</v>
      </c>
      <c r="O18" s="65">
        <f t="shared" si="4"/>
        <v>0</v>
      </c>
      <c r="P18" s="101"/>
      <c r="Q18" s="101"/>
      <c r="R18" s="101"/>
      <c r="S18" s="101"/>
      <c r="T18" s="102"/>
    </row>
    <row r="19" spans="1:20" ht="33" customHeight="1">
      <c r="A19" s="1038"/>
      <c r="B19" s="46">
        <v>6</v>
      </c>
      <c r="C19" s="344"/>
      <c r="D19" s="64">
        <f t="shared" si="1"/>
        <v>0</v>
      </c>
      <c r="E19" s="64">
        <f t="shared" si="3"/>
        <v>0</v>
      </c>
      <c r="F19" s="98">
        <f>Arbejdstidsoversigt!D34</f>
        <v>0</v>
      </c>
      <c r="G19" s="98">
        <f>Arbejdstidsoversigt!E34</f>
        <v>0</v>
      </c>
      <c r="H19" s="98">
        <f>Arbejdstidsoversigt!F34</f>
        <v>0</v>
      </c>
      <c r="I19" s="98">
        <f>Arbejdstidsoversigt!G34</f>
        <v>0</v>
      </c>
      <c r="J19" s="100">
        <f>Arbejdstidsoversigt!H34</f>
        <v>0</v>
      </c>
      <c r="K19" s="1038"/>
      <c r="L19" s="211">
        <v>6</v>
      </c>
      <c r="M19" s="344"/>
      <c r="N19" s="64">
        <f t="shared" si="2"/>
        <v>0</v>
      </c>
      <c r="O19" s="64">
        <f t="shared" si="4"/>
        <v>0</v>
      </c>
      <c r="P19" s="98">
        <f>Arbejdstidsoversigt!L34</f>
        <v>0</v>
      </c>
      <c r="Q19" s="98">
        <f>Arbejdstidsoversigt!M34</f>
        <v>0</v>
      </c>
      <c r="R19" s="98">
        <f>Arbejdstidsoversigt!N34</f>
        <v>0</v>
      </c>
      <c r="S19" s="98">
        <f>Arbejdstidsoversigt!O34</f>
        <v>0</v>
      </c>
      <c r="T19" s="100">
        <f>Arbejdstidsoversigt!P34</f>
        <v>0</v>
      </c>
    </row>
    <row r="20" spans="1:20" ht="15" customHeight="1">
      <c r="A20" s="1038"/>
      <c r="B20" s="66"/>
      <c r="C20" s="344"/>
      <c r="D20" s="65">
        <f t="shared" si="1"/>
        <v>0</v>
      </c>
      <c r="E20" s="65">
        <f t="shared" si="3"/>
        <v>0</v>
      </c>
      <c r="F20" s="101"/>
      <c r="G20" s="101"/>
      <c r="H20" s="101"/>
      <c r="I20" s="101"/>
      <c r="J20" s="102"/>
      <c r="K20" s="1038"/>
      <c r="L20" s="212"/>
      <c r="M20" s="344"/>
      <c r="N20" s="65">
        <f t="shared" si="2"/>
        <v>0</v>
      </c>
      <c r="O20" s="65">
        <f t="shared" si="4"/>
        <v>0</v>
      </c>
      <c r="P20" s="101"/>
      <c r="Q20" s="101"/>
      <c r="R20" s="101"/>
      <c r="S20" s="101"/>
      <c r="T20" s="102"/>
    </row>
    <row r="21" spans="1:20" ht="33" customHeight="1">
      <c r="A21" s="1038"/>
      <c r="B21" s="46">
        <v>7</v>
      </c>
      <c r="C21" s="344"/>
      <c r="D21" s="64">
        <f t="shared" si="1"/>
        <v>0</v>
      </c>
      <c r="E21" s="64">
        <f t="shared" si="3"/>
        <v>0</v>
      </c>
      <c r="F21" s="98">
        <f>Arbejdstidsoversigt!D35</f>
        <v>0</v>
      </c>
      <c r="G21" s="98">
        <f>Arbejdstidsoversigt!E35</f>
        <v>0</v>
      </c>
      <c r="H21" s="98">
        <f>Arbejdstidsoversigt!F35</f>
        <v>0</v>
      </c>
      <c r="I21" s="98">
        <f>Arbejdstidsoversigt!G35</f>
        <v>0</v>
      </c>
      <c r="J21" s="100">
        <f>Arbejdstidsoversigt!H35</f>
        <v>0</v>
      </c>
      <c r="K21" s="1038"/>
      <c r="L21" s="211">
        <v>7</v>
      </c>
      <c r="M21" s="344"/>
      <c r="N21" s="64">
        <f t="shared" si="2"/>
        <v>0</v>
      </c>
      <c r="O21" s="64">
        <f t="shared" si="4"/>
        <v>0</v>
      </c>
      <c r="P21" s="98">
        <f>Arbejdstidsoversigt!L35</f>
        <v>0</v>
      </c>
      <c r="Q21" s="98">
        <f>Arbejdstidsoversigt!M35</f>
        <v>0</v>
      </c>
      <c r="R21" s="98">
        <f>Arbejdstidsoversigt!N35</f>
        <v>0</v>
      </c>
      <c r="S21" s="98">
        <f>Arbejdstidsoversigt!O35</f>
        <v>0</v>
      </c>
      <c r="T21" s="100">
        <f>Arbejdstidsoversigt!P35</f>
        <v>0</v>
      </c>
    </row>
    <row r="22" spans="1:20" ht="15" customHeight="1">
      <c r="A22" s="1038"/>
      <c r="B22" s="66"/>
      <c r="C22" s="344"/>
      <c r="D22" s="65">
        <f t="shared" si="1"/>
        <v>0</v>
      </c>
      <c r="E22" s="65">
        <f t="shared" si="3"/>
        <v>0</v>
      </c>
      <c r="F22" s="101"/>
      <c r="G22" s="101"/>
      <c r="H22" s="101"/>
      <c r="I22" s="101"/>
      <c r="J22" s="102"/>
      <c r="K22" s="1038"/>
      <c r="L22" s="212"/>
      <c r="M22" s="344"/>
      <c r="N22" s="65">
        <f t="shared" si="2"/>
        <v>0</v>
      </c>
      <c r="O22" s="65">
        <f t="shared" si="4"/>
        <v>0</v>
      </c>
      <c r="P22" s="101"/>
      <c r="Q22" s="101"/>
      <c r="R22" s="101"/>
      <c r="S22" s="101"/>
      <c r="T22" s="102"/>
    </row>
    <row r="23" spans="1:20" ht="33" customHeight="1">
      <c r="A23" s="1038"/>
      <c r="B23" s="46">
        <v>8</v>
      </c>
      <c r="C23" s="344"/>
      <c r="D23" s="64">
        <f t="shared" si="1"/>
        <v>0</v>
      </c>
      <c r="E23" s="64">
        <f t="shared" si="3"/>
        <v>0</v>
      </c>
      <c r="F23" s="98">
        <f>Arbejdstidsoversigt!D36</f>
        <v>0</v>
      </c>
      <c r="G23" s="98">
        <f>Arbejdstidsoversigt!E36</f>
        <v>0</v>
      </c>
      <c r="H23" s="98">
        <f>Arbejdstidsoversigt!F36</f>
        <v>0</v>
      </c>
      <c r="I23" s="98">
        <f>Arbejdstidsoversigt!G36</f>
        <v>0</v>
      </c>
      <c r="J23" s="100">
        <f>Arbejdstidsoversigt!H36</f>
        <v>0</v>
      </c>
      <c r="K23" s="1038"/>
      <c r="L23" s="211">
        <v>8</v>
      </c>
      <c r="M23" s="344"/>
      <c r="N23" s="64">
        <f t="shared" si="2"/>
        <v>0</v>
      </c>
      <c r="O23" s="64">
        <f t="shared" si="4"/>
        <v>0</v>
      </c>
      <c r="P23" s="98">
        <f>Arbejdstidsoversigt!L36</f>
        <v>0</v>
      </c>
      <c r="Q23" s="98">
        <f>Arbejdstidsoversigt!M36</f>
        <v>0</v>
      </c>
      <c r="R23" s="98">
        <f>Arbejdstidsoversigt!N36</f>
        <v>0</v>
      </c>
      <c r="S23" s="98">
        <f>Arbejdstidsoversigt!O36</f>
        <v>0</v>
      </c>
      <c r="T23" s="100">
        <f>Arbejdstidsoversigt!P36</f>
        <v>0</v>
      </c>
    </row>
    <row r="24" spans="1:20" ht="15" customHeight="1">
      <c r="A24" s="1038"/>
      <c r="B24" s="66"/>
      <c r="C24" s="344"/>
      <c r="D24" s="65">
        <f t="shared" si="1"/>
        <v>0</v>
      </c>
      <c r="E24" s="65">
        <f t="shared" si="3"/>
        <v>0</v>
      </c>
      <c r="F24" s="101"/>
      <c r="G24" s="101"/>
      <c r="H24" s="101"/>
      <c r="I24" s="101"/>
      <c r="J24" s="102"/>
      <c r="K24" s="1038"/>
      <c r="L24" s="212"/>
      <c r="M24" s="344"/>
      <c r="N24" s="65">
        <f t="shared" si="2"/>
        <v>0</v>
      </c>
      <c r="O24" s="65">
        <f t="shared" si="4"/>
        <v>0</v>
      </c>
      <c r="P24" s="101"/>
      <c r="Q24" s="101"/>
      <c r="R24" s="101"/>
      <c r="S24" s="101"/>
      <c r="T24" s="102"/>
    </row>
    <row r="25" spans="1:20" ht="33" customHeight="1">
      <c r="A25" s="1038"/>
      <c r="B25" s="46">
        <v>9</v>
      </c>
      <c r="C25" s="344"/>
      <c r="D25" s="64">
        <f t="shared" si="1"/>
        <v>0</v>
      </c>
      <c r="E25" s="64">
        <f t="shared" si="3"/>
        <v>0</v>
      </c>
      <c r="F25" s="98">
        <f>Arbejdstidsoversigt!D37</f>
        <v>0</v>
      </c>
      <c r="G25" s="98">
        <f>Arbejdstidsoversigt!E37</f>
        <v>0</v>
      </c>
      <c r="H25" s="98">
        <f>Arbejdstidsoversigt!F37</f>
        <v>0</v>
      </c>
      <c r="I25" s="98">
        <f>Arbejdstidsoversigt!G37</f>
        <v>0</v>
      </c>
      <c r="J25" s="100">
        <f>Arbejdstidsoversigt!H37</f>
        <v>0</v>
      </c>
      <c r="K25" s="1038"/>
      <c r="L25" s="211">
        <v>9</v>
      </c>
      <c r="M25" s="344"/>
      <c r="N25" s="64">
        <f t="shared" si="2"/>
        <v>0</v>
      </c>
      <c r="O25" s="64">
        <f t="shared" si="4"/>
        <v>0</v>
      </c>
      <c r="P25" s="98">
        <f>Arbejdstidsoversigt!L37</f>
        <v>0</v>
      </c>
      <c r="Q25" s="98">
        <f>Arbejdstidsoversigt!M37</f>
        <v>0</v>
      </c>
      <c r="R25" s="98">
        <f>Arbejdstidsoversigt!N37</f>
        <v>0</v>
      </c>
      <c r="S25" s="98">
        <f>Arbejdstidsoversigt!O37</f>
        <v>0</v>
      </c>
      <c r="T25" s="100">
        <f>Arbejdstidsoversigt!P37</f>
        <v>0</v>
      </c>
    </row>
    <row r="26" spans="1:20" ht="15" customHeight="1">
      <c r="A26" s="1038"/>
      <c r="B26" s="66"/>
      <c r="C26" s="344"/>
      <c r="D26" s="65">
        <f t="shared" si="1"/>
        <v>0</v>
      </c>
      <c r="E26" s="65">
        <f t="shared" si="3"/>
        <v>0</v>
      </c>
      <c r="F26" s="101"/>
      <c r="G26" s="101"/>
      <c r="H26" s="101"/>
      <c r="I26" s="101"/>
      <c r="J26" s="102"/>
      <c r="K26" s="1038"/>
      <c r="L26" s="212"/>
      <c r="M26" s="344"/>
      <c r="N26" s="65">
        <f t="shared" si="2"/>
        <v>0</v>
      </c>
      <c r="O26" s="65">
        <f t="shared" si="4"/>
        <v>0</v>
      </c>
      <c r="P26" s="101"/>
      <c r="Q26" s="101"/>
      <c r="R26" s="101"/>
      <c r="S26" s="101"/>
      <c r="T26" s="102"/>
    </row>
    <row r="27" spans="1:20" ht="33" customHeight="1">
      <c r="A27" s="1038"/>
      <c r="B27" s="46">
        <v>10</v>
      </c>
      <c r="C27" s="344"/>
      <c r="D27" s="64">
        <f t="shared" si="1"/>
        <v>0</v>
      </c>
      <c r="E27" s="64">
        <f t="shared" si="3"/>
        <v>0</v>
      </c>
      <c r="F27" s="98">
        <f>Arbejdstidsoversigt!D38</f>
        <v>0</v>
      </c>
      <c r="G27" s="98">
        <f>Arbejdstidsoversigt!E38</f>
        <v>0</v>
      </c>
      <c r="H27" s="98">
        <f>Arbejdstidsoversigt!F38</f>
        <v>0</v>
      </c>
      <c r="I27" s="98">
        <f>Arbejdstidsoversigt!G38</f>
        <v>0</v>
      </c>
      <c r="J27" s="100">
        <f>Arbejdstidsoversigt!H38</f>
        <v>0</v>
      </c>
      <c r="K27" s="1038"/>
      <c r="L27" s="211">
        <v>10</v>
      </c>
      <c r="M27" s="344"/>
      <c r="N27" s="64">
        <f t="shared" si="2"/>
        <v>0</v>
      </c>
      <c r="O27" s="64">
        <f t="shared" si="4"/>
        <v>0</v>
      </c>
      <c r="P27" s="98">
        <f>Arbejdstidsoversigt!L38</f>
        <v>0</v>
      </c>
      <c r="Q27" s="98">
        <f>Arbejdstidsoversigt!M38</f>
        <v>0</v>
      </c>
      <c r="R27" s="98">
        <f>Arbejdstidsoversigt!N38</f>
        <v>0</v>
      </c>
      <c r="S27" s="98">
        <f>Arbejdstidsoversigt!O38</f>
        <v>0</v>
      </c>
      <c r="T27" s="100">
        <f>Arbejdstidsoversigt!P38</f>
        <v>0</v>
      </c>
    </row>
    <row r="28" spans="1:20" ht="31">
      <c r="A28" s="1038"/>
      <c r="B28" s="940" t="s">
        <v>92</v>
      </c>
      <c r="C28" s="941"/>
      <c r="D28" s="941"/>
      <c r="E28" s="941"/>
      <c r="F28" s="941"/>
      <c r="G28" s="941"/>
      <c r="H28" s="941"/>
      <c r="I28" s="941"/>
      <c r="J28" s="1023"/>
      <c r="K28" s="1038"/>
      <c r="L28" s="941" t="s">
        <v>92</v>
      </c>
      <c r="M28" s="941"/>
      <c r="N28" s="941"/>
      <c r="O28" s="941"/>
      <c r="P28" s="941"/>
      <c r="Q28" s="941"/>
      <c r="R28" s="941"/>
      <c r="S28" s="941"/>
      <c r="T28" s="1023"/>
    </row>
    <row r="29" spans="1:20" ht="18" customHeight="1">
      <c r="A29" s="1038"/>
      <c r="B29" s="1024" t="s">
        <v>154</v>
      </c>
      <c r="C29" s="1025"/>
      <c r="D29" s="1025"/>
      <c r="E29" s="1026"/>
      <c r="F29" s="1024" t="s">
        <v>120</v>
      </c>
      <c r="G29" s="1025"/>
      <c r="H29" s="1025"/>
      <c r="I29" s="1025"/>
      <c r="J29" s="1049"/>
      <c r="K29" s="1038"/>
      <c r="L29" s="1026" t="s">
        <v>154</v>
      </c>
      <c r="M29" s="1066"/>
      <c r="N29" s="1066"/>
      <c r="O29" s="1066"/>
      <c r="P29" s="1066" t="s">
        <v>120</v>
      </c>
      <c r="Q29" s="1066"/>
      <c r="R29" s="1066"/>
      <c r="S29" s="1066"/>
      <c r="T29" s="1067"/>
    </row>
    <row r="30" spans="1:20" ht="18" customHeight="1">
      <c r="A30" s="1038"/>
      <c r="B30" s="1050">
        <f>Arbejdstidsoversigt!B45</f>
        <v>0</v>
      </c>
      <c r="C30" s="1051"/>
      <c r="D30" s="1051"/>
      <c r="E30" s="1052"/>
      <c r="F30" s="1028"/>
      <c r="G30" s="1029"/>
      <c r="H30" s="1029"/>
      <c r="I30" s="1029"/>
      <c r="J30" s="1030"/>
      <c r="K30" s="1038"/>
      <c r="L30" s="1064">
        <f>Arbejdstidsoversigt!J45</f>
        <v>0</v>
      </c>
      <c r="M30" s="1064"/>
      <c r="N30" s="1064"/>
      <c r="O30" s="1065"/>
      <c r="P30" s="1028"/>
      <c r="Q30" s="1029"/>
      <c r="R30" s="1029"/>
      <c r="S30" s="1029"/>
      <c r="T30" s="1030"/>
    </row>
    <row r="31" spans="1:20" ht="18" customHeight="1">
      <c r="A31" s="1038"/>
      <c r="B31" s="1050">
        <f>Arbejdstidsoversigt!B46</f>
        <v>0</v>
      </c>
      <c r="C31" s="1051"/>
      <c r="D31" s="1051"/>
      <c r="E31" s="1052"/>
      <c r="F31" s="756"/>
      <c r="G31" s="757"/>
      <c r="H31" s="757"/>
      <c r="I31" s="757"/>
      <c r="J31" s="1027"/>
      <c r="K31" s="1038"/>
      <c r="L31" s="1064">
        <f>Arbejdstidsoversigt!J46</f>
        <v>0</v>
      </c>
      <c r="M31" s="1064"/>
      <c r="N31" s="1064"/>
      <c r="O31" s="1065"/>
      <c r="P31" s="756"/>
      <c r="Q31" s="757"/>
      <c r="R31" s="757"/>
      <c r="S31" s="757"/>
      <c r="T31" s="1027"/>
    </row>
    <row r="32" spans="1:20" ht="18" customHeight="1">
      <c r="A32" s="1038"/>
      <c r="B32" s="1050">
        <f>Arbejdstidsoversigt!B47</f>
        <v>0</v>
      </c>
      <c r="C32" s="1051"/>
      <c r="D32" s="1051"/>
      <c r="E32" s="1052"/>
      <c r="F32" s="1028"/>
      <c r="G32" s="1029"/>
      <c r="H32" s="1029"/>
      <c r="I32" s="1029"/>
      <c r="J32" s="1030"/>
      <c r="K32" s="1038"/>
      <c r="L32" s="1064">
        <f>Arbejdstidsoversigt!J47</f>
        <v>0</v>
      </c>
      <c r="M32" s="1064"/>
      <c r="N32" s="1064"/>
      <c r="O32" s="1065"/>
      <c r="P32" s="1028"/>
      <c r="Q32" s="1029"/>
      <c r="R32" s="1029"/>
      <c r="S32" s="1029"/>
      <c r="T32" s="1030"/>
    </row>
    <row r="33" spans="1:20" ht="18" customHeight="1">
      <c r="A33" s="1038"/>
      <c r="B33" s="1050">
        <f>Arbejdstidsoversigt!B48</f>
        <v>0</v>
      </c>
      <c r="C33" s="1051"/>
      <c r="D33" s="1051"/>
      <c r="E33" s="1052"/>
      <c r="F33" s="756"/>
      <c r="G33" s="757"/>
      <c r="H33" s="757"/>
      <c r="I33" s="757"/>
      <c r="J33" s="1027"/>
      <c r="K33" s="1038"/>
      <c r="L33" s="1064">
        <f>Arbejdstidsoversigt!J48</f>
        <v>0</v>
      </c>
      <c r="M33" s="1064"/>
      <c r="N33" s="1064"/>
      <c r="O33" s="1065"/>
      <c r="P33" s="756"/>
      <c r="Q33" s="757"/>
      <c r="R33" s="757"/>
      <c r="S33" s="757"/>
      <c r="T33" s="1027"/>
    </row>
    <row r="34" spans="1:20" ht="18" customHeight="1">
      <c r="A34" s="1038"/>
      <c r="B34" s="1050">
        <f>Arbejdstidsoversigt!B49</f>
        <v>0</v>
      </c>
      <c r="C34" s="1051"/>
      <c r="D34" s="1051"/>
      <c r="E34" s="1052"/>
      <c r="F34" s="1028"/>
      <c r="G34" s="1029"/>
      <c r="H34" s="1029"/>
      <c r="I34" s="1029"/>
      <c r="J34" s="1030"/>
      <c r="K34" s="1038"/>
      <c r="L34" s="1064">
        <f>Arbejdstidsoversigt!J49</f>
        <v>0</v>
      </c>
      <c r="M34" s="1064"/>
      <c r="N34" s="1064"/>
      <c r="O34" s="1065"/>
      <c r="P34" s="1028"/>
      <c r="Q34" s="1029"/>
      <c r="R34" s="1029"/>
      <c r="S34" s="1029"/>
      <c r="T34" s="1030"/>
    </row>
    <row r="35" spans="1:20" ht="18" customHeight="1">
      <c r="A35" s="1038"/>
      <c r="B35" s="1050">
        <f>Arbejdstidsoversigt!B50</f>
        <v>0</v>
      </c>
      <c r="C35" s="1051"/>
      <c r="D35" s="1051"/>
      <c r="E35" s="1052"/>
      <c r="F35" s="1028"/>
      <c r="G35" s="1029"/>
      <c r="H35" s="1029"/>
      <c r="I35" s="1029"/>
      <c r="J35" s="1030"/>
      <c r="K35" s="1038"/>
      <c r="L35" s="1015">
        <f>Arbejdstidsoversigt!J50</f>
        <v>0</v>
      </c>
      <c r="M35" s="1015"/>
      <c r="N35" s="1015"/>
      <c r="O35" s="1016"/>
      <c r="P35" s="1028"/>
      <c r="Q35" s="1029"/>
      <c r="R35" s="1029"/>
      <c r="S35" s="1029"/>
      <c r="T35" s="1030"/>
    </row>
    <row r="36" spans="1:20" ht="18" customHeight="1">
      <c r="A36" s="1038"/>
      <c r="B36" s="1046">
        <f>Arbejdstidsoversigt!B51</f>
        <v>0</v>
      </c>
      <c r="C36" s="1047"/>
      <c r="D36" s="1047"/>
      <c r="E36" s="1048"/>
      <c r="F36" s="1028"/>
      <c r="G36" s="1029"/>
      <c r="H36" s="1029"/>
      <c r="I36" s="1029"/>
      <c r="J36" s="1030"/>
      <c r="K36" s="1038"/>
      <c r="L36" s="1015">
        <f>Arbejdstidsoversigt!J51</f>
        <v>0</v>
      </c>
      <c r="M36" s="1015"/>
      <c r="N36" s="1015"/>
      <c r="O36" s="1016"/>
      <c r="P36" s="1028"/>
      <c r="Q36" s="1029"/>
      <c r="R36" s="1029"/>
      <c r="S36" s="1029"/>
      <c r="T36" s="1030"/>
    </row>
    <row r="37" spans="1:20" ht="18" customHeight="1">
      <c r="A37" s="1038"/>
      <c r="B37" s="1046">
        <f>Arbejdstidsoversigt!B52</f>
        <v>0</v>
      </c>
      <c r="C37" s="1047"/>
      <c r="D37" s="1047"/>
      <c r="E37" s="1048"/>
      <c r="F37" s="338"/>
      <c r="G37" s="339"/>
      <c r="H37" s="339"/>
      <c r="I37" s="339"/>
      <c r="J37" s="340"/>
      <c r="K37" s="1038"/>
      <c r="L37" s="1015">
        <f>Arbejdstidsoversigt!J52</f>
        <v>0</v>
      </c>
      <c r="M37" s="1015"/>
      <c r="N37" s="1015"/>
      <c r="O37" s="1016"/>
      <c r="P37" s="338"/>
      <c r="Q37" s="339"/>
      <c r="R37" s="339"/>
      <c r="S37" s="339"/>
      <c r="T37" s="340"/>
    </row>
    <row r="38" spans="1:20" ht="18" customHeight="1">
      <c r="A38" s="1038"/>
      <c r="B38" s="1046">
        <f>Arbejdstidsoversigt!B53</f>
        <v>0</v>
      </c>
      <c r="C38" s="1047"/>
      <c r="D38" s="1047"/>
      <c r="E38" s="1048"/>
      <c r="F38" s="338"/>
      <c r="G38" s="339"/>
      <c r="H38" s="339"/>
      <c r="I38" s="339"/>
      <c r="J38" s="340"/>
      <c r="K38" s="1038"/>
      <c r="L38" s="1015">
        <f>Arbejdstidsoversigt!J53</f>
        <v>0</v>
      </c>
      <c r="M38" s="1015"/>
      <c r="N38" s="1015"/>
      <c r="O38" s="1016"/>
      <c r="P38" s="338"/>
      <c r="Q38" s="339"/>
      <c r="R38" s="339"/>
      <c r="S38" s="339"/>
      <c r="T38" s="340"/>
    </row>
    <row r="39" spans="1:20" ht="18" customHeight="1">
      <c r="A39" s="1038"/>
      <c r="B39" s="1046">
        <f>Arbejdstidsoversigt!B54</f>
        <v>0</v>
      </c>
      <c r="C39" s="1047"/>
      <c r="D39" s="1047"/>
      <c r="E39" s="1048"/>
      <c r="F39" s="338"/>
      <c r="G39" s="339"/>
      <c r="H39" s="339"/>
      <c r="I39" s="339"/>
      <c r="J39" s="340"/>
      <c r="K39" s="1038"/>
      <c r="L39" s="1015">
        <f>Arbejdstidsoversigt!J54</f>
        <v>0</v>
      </c>
      <c r="M39" s="1015"/>
      <c r="N39" s="1015"/>
      <c r="O39" s="1016"/>
      <c r="P39" s="338"/>
      <c r="Q39" s="339"/>
      <c r="R39" s="339"/>
      <c r="S39" s="339"/>
      <c r="T39" s="340"/>
    </row>
    <row r="40" spans="1:20" ht="18" customHeight="1">
      <c r="A40" s="1038"/>
      <c r="B40" s="1046">
        <f>Arbejdstidsoversigt!B55</f>
        <v>0</v>
      </c>
      <c r="C40" s="1047"/>
      <c r="D40" s="1047"/>
      <c r="E40" s="1048"/>
      <c r="F40" s="338"/>
      <c r="G40" s="339"/>
      <c r="H40" s="339"/>
      <c r="I40" s="339"/>
      <c r="J40" s="340"/>
      <c r="K40" s="1038"/>
      <c r="L40" s="1015">
        <f>Arbejdstidsoversigt!J55</f>
        <v>0</v>
      </c>
      <c r="M40" s="1015"/>
      <c r="N40" s="1015"/>
      <c r="O40" s="1016"/>
      <c r="P40" s="338"/>
      <c r="Q40" s="339"/>
      <c r="R40" s="339"/>
      <c r="S40" s="339"/>
      <c r="T40" s="340"/>
    </row>
    <row r="41" spans="1:20" ht="18" customHeight="1">
      <c r="A41" s="1038"/>
      <c r="B41" s="1046">
        <f>Arbejdstidsoversigt!B56</f>
        <v>0</v>
      </c>
      <c r="C41" s="1047"/>
      <c r="D41" s="1047"/>
      <c r="E41" s="1048"/>
      <c r="F41" s="338"/>
      <c r="G41" s="339"/>
      <c r="H41" s="339"/>
      <c r="I41" s="339"/>
      <c r="J41" s="340"/>
      <c r="K41" s="1038"/>
      <c r="L41" s="1015">
        <f>Arbejdstidsoversigt!J56</f>
        <v>0</v>
      </c>
      <c r="M41" s="1015"/>
      <c r="N41" s="1015"/>
      <c r="O41" s="1016"/>
      <c r="P41" s="338"/>
      <c r="Q41" s="339"/>
      <c r="R41" s="339"/>
      <c r="S41" s="339"/>
      <c r="T41" s="340"/>
    </row>
    <row r="42" spans="1:20" ht="18" customHeight="1">
      <c r="A42" s="1038"/>
      <c r="B42" s="1046">
        <f>Arbejdstidsoversigt!B57</f>
        <v>0</v>
      </c>
      <c r="C42" s="1047"/>
      <c r="D42" s="1047"/>
      <c r="E42" s="1048"/>
      <c r="F42" s="338"/>
      <c r="G42" s="339"/>
      <c r="H42" s="339"/>
      <c r="I42" s="339"/>
      <c r="J42" s="340"/>
      <c r="K42" s="1038"/>
      <c r="L42" s="1015">
        <f>Arbejdstidsoversigt!J57</f>
        <v>0</v>
      </c>
      <c r="M42" s="1015"/>
      <c r="N42" s="1015"/>
      <c r="O42" s="1016"/>
      <c r="P42" s="338"/>
      <c r="Q42" s="339"/>
      <c r="R42" s="339"/>
      <c r="S42" s="339"/>
      <c r="T42" s="340"/>
    </row>
    <row r="43" spans="1:20" ht="18" customHeight="1" thickBot="1">
      <c r="A43" s="1039"/>
      <c r="B43" s="1053">
        <f>Arbejdstidsoversigt!B58</f>
        <v>0</v>
      </c>
      <c r="C43" s="1054"/>
      <c r="D43" s="1054"/>
      <c r="E43" s="1055"/>
      <c r="F43" s="1034"/>
      <c r="G43" s="1035"/>
      <c r="H43" s="1035"/>
      <c r="I43" s="1035"/>
      <c r="J43" s="1036"/>
      <c r="K43" s="1039"/>
      <c r="L43" s="1031">
        <f>Arbejdstidsoversigt!J58</f>
        <v>0</v>
      </c>
      <c r="M43" s="1032"/>
      <c r="N43" s="1032"/>
      <c r="O43" s="1033"/>
      <c r="P43" s="1034"/>
      <c r="Q43" s="1035"/>
      <c r="R43" s="1035"/>
      <c r="S43" s="1035"/>
      <c r="T43" s="1036"/>
    </row>
    <row r="44" spans="1:20" ht="17" thickBot="1"/>
    <row r="45" spans="1:20" ht="31">
      <c r="A45" s="1073" t="str">
        <f>[2]Arbejdstidsoversigt!B65</f>
        <v>Planlagte arbejdsdage uden undervisning</v>
      </c>
      <c r="B45" s="1074"/>
      <c r="C45" s="1074"/>
      <c r="D45" s="1074"/>
      <c r="E45" s="1074"/>
      <c r="F45" s="1074"/>
      <c r="G45" s="1074"/>
      <c r="H45" s="1074"/>
      <c r="I45" s="1074"/>
      <c r="J45" s="1075"/>
    </row>
    <row r="46" spans="1:20">
      <c r="A46" s="1072" t="s">
        <v>154</v>
      </c>
      <c r="B46" s="1025"/>
      <c r="C46" s="1026"/>
      <c r="D46" s="1024" t="s">
        <v>120</v>
      </c>
      <c r="E46" s="1025"/>
      <c r="F46" s="1025"/>
      <c r="G46" s="1025"/>
      <c r="H46" s="1025"/>
      <c r="I46" s="1025"/>
      <c r="J46" s="1049"/>
    </row>
    <row r="47" spans="1:20">
      <c r="A47" s="1017">
        <f>Arbejdstidsoversigt!B88</f>
        <v>0</v>
      </c>
      <c r="B47" s="1018"/>
      <c r="C47" s="1019"/>
      <c r="D47" s="756"/>
      <c r="E47" s="757"/>
      <c r="F47" s="757"/>
      <c r="G47" s="757"/>
      <c r="H47" s="757"/>
      <c r="I47" s="757"/>
      <c r="J47" s="1027"/>
    </row>
    <row r="48" spans="1:20">
      <c r="A48" s="1017">
        <f>Arbejdstidsoversigt!B89</f>
        <v>0</v>
      </c>
      <c r="B48" s="1018"/>
      <c r="C48" s="1019"/>
      <c r="D48" s="756"/>
      <c r="E48" s="757"/>
      <c r="F48" s="757"/>
      <c r="G48" s="757"/>
      <c r="H48" s="757"/>
      <c r="I48" s="757"/>
      <c r="J48" s="1027"/>
    </row>
    <row r="49" spans="1:10">
      <c r="A49" s="1017">
        <f>Arbejdstidsoversigt!B90</f>
        <v>0</v>
      </c>
      <c r="B49" s="1018"/>
      <c r="C49" s="1019"/>
      <c r="D49" s="1076"/>
      <c r="E49" s="1077"/>
      <c r="F49" s="1077"/>
      <c r="G49" s="1077"/>
      <c r="H49" s="1077"/>
      <c r="I49" s="1077"/>
      <c r="J49" s="1078"/>
    </row>
    <row r="50" spans="1:10">
      <c r="A50" s="1017">
        <f>Arbejdstidsoversigt!B91</f>
        <v>0</v>
      </c>
      <c r="B50" s="1018"/>
      <c r="C50" s="1019"/>
      <c r="D50" s="169"/>
      <c r="E50" s="170"/>
      <c r="F50" s="170"/>
      <c r="G50" s="170"/>
      <c r="H50" s="170"/>
      <c r="I50" s="170"/>
      <c r="J50" s="173"/>
    </row>
    <row r="51" spans="1:10" ht="17" thickBot="1">
      <c r="A51" s="1079">
        <f>Arbejdstidsoversigt!B92</f>
        <v>0</v>
      </c>
      <c r="B51" s="1080"/>
      <c r="C51" s="1081"/>
      <c r="D51" s="1082"/>
      <c r="E51" s="1083"/>
      <c r="F51" s="1083"/>
      <c r="G51" s="1083"/>
      <c r="H51" s="1083"/>
      <c r="I51" s="1083"/>
      <c r="J51" s="1084"/>
    </row>
    <row r="52" spans="1:10" ht="14" customHeight="1" thickBot="1"/>
    <row r="53" spans="1:10" ht="30" customHeight="1">
      <c r="A53" s="1069" t="str">
        <f>[2]Arbejdstidsoversigt!B76</f>
        <v>Lejrskole og ekskursioner                                                                     planlagt på hverdage i tidsrummet 06:00 - 17:00</v>
      </c>
      <c r="B53" s="1070"/>
      <c r="C53" s="1070"/>
      <c r="D53" s="1070"/>
      <c r="E53" s="1070"/>
      <c r="F53" s="1070"/>
      <c r="G53" s="1070"/>
      <c r="H53" s="1070"/>
      <c r="I53" s="1070"/>
      <c r="J53" s="1071"/>
    </row>
    <row r="54" spans="1:10">
      <c r="A54" s="1072" t="s">
        <v>154</v>
      </c>
      <c r="B54" s="1025"/>
      <c r="C54" s="1025"/>
      <c r="D54" s="1025"/>
      <c r="E54" s="1026"/>
      <c r="F54" s="1024" t="s">
        <v>120</v>
      </c>
      <c r="G54" s="1025"/>
      <c r="H54" s="1025"/>
      <c r="I54" s="1025"/>
      <c r="J54" s="1049"/>
    </row>
    <row r="55" spans="1:10">
      <c r="A55" s="1017">
        <f>Arbejdstidsoversigt!B100</f>
        <v>0</v>
      </c>
      <c r="B55" s="1018"/>
      <c r="C55" s="1018"/>
      <c r="D55" s="1018"/>
      <c r="E55" s="1019"/>
      <c r="F55" s="1028"/>
      <c r="G55" s="1029"/>
      <c r="H55" s="1029"/>
      <c r="I55" s="1029"/>
      <c r="J55" s="1030"/>
    </row>
    <row r="56" spans="1:10">
      <c r="A56" s="1017">
        <f>Arbejdstidsoversigt!B101</f>
        <v>0</v>
      </c>
      <c r="B56" s="1018"/>
      <c r="C56" s="1018"/>
      <c r="D56" s="1018"/>
      <c r="E56" s="1019"/>
      <c r="F56" s="756"/>
      <c r="G56" s="757"/>
      <c r="H56" s="757"/>
      <c r="I56" s="757"/>
      <c r="J56" s="1027"/>
    </row>
    <row r="57" spans="1:10">
      <c r="A57" s="1017">
        <f>Arbejdstidsoversigt!B102</f>
        <v>0</v>
      </c>
      <c r="B57" s="1018"/>
      <c r="C57" s="1018"/>
      <c r="D57" s="1018"/>
      <c r="E57" s="1019"/>
      <c r="F57" s="1028"/>
      <c r="G57" s="1029"/>
      <c r="H57" s="1029"/>
      <c r="I57" s="1029"/>
      <c r="J57" s="1030"/>
    </row>
    <row r="58" spans="1:10">
      <c r="A58" s="1017">
        <f>Arbejdstidsoversigt!B103</f>
        <v>0</v>
      </c>
      <c r="B58" s="1018"/>
      <c r="C58" s="1018"/>
      <c r="D58" s="1018"/>
      <c r="E58" s="1019"/>
      <c r="F58" s="1076"/>
      <c r="G58" s="1077"/>
      <c r="H58" s="1077"/>
      <c r="I58" s="1077"/>
      <c r="J58" s="1078"/>
    </row>
    <row r="59" spans="1:10">
      <c r="A59" s="1017">
        <f>Arbejdstidsoversigt!B104</f>
        <v>0</v>
      </c>
      <c r="B59" s="1018"/>
      <c r="C59" s="1018"/>
      <c r="D59" s="1018"/>
      <c r="E59" s="1019"/>
      <c r="F59" s="1076"/>
      <c r="G59" s="1077"/>
      <c r="H59" s="1077"/>
      <c r="I59" s="1077"/>
      <c r="J59" s="1078"/>
    </row>
    <row r="60" spans="1:10">
      <c r="A60" s="1017">
        <f>Arbejdstidsoversigt!B105</f>
        <v>0</v>
      </c>
      <c r="B60" s="1018"/>
      <c r="C60" s="1018"/>
      <c r="D60" s="1018"/>
      <c r="E60" s="1019"/>
      <c r="F60" s="1076"/>
      <c r="G60" s="1077"/>
      <c r="H60" s="1077"/>
      <c r="I60" s="1077"/>
      <c r="J60" s="1078"/>
    </row>
    <row r="61" spans="1:10">
      <c r="A61" s="1017">
        <f>Arbejdstidsoversigt!B106</f>
        <v>0</v>
      </c>
      <c r="B61" s="1018"/>
      <c r="C61" s="1018"/>
      <c r="D61" s="1018"/>
      <c r="E61" s="1019"/>
      <c r="F61" s="184"/>
      <c r="G61" s="185"/>
      <c r="H61" s="185"/>
      <c r="I61" s="185"/>
      <c r="J61" s="186"/>
    </row>
    <row r="62" spans="1:10">
      <c r="A62" s="1017">
        <f>Arbejdstidsoversigt!B107</f>
        <v>0</v>
      </c>
      <c r="B62" s="1018"/>
      <c r="C62" s="1018"/>
      <c r="D62" s="1018"/>
      <c r="E62" s="1019"/>
      <c r="F62" s="1076"/>
      <c r="G62" s="1077"/>
      <c r="H62" s="1077"/>
      <c r="I62" s="1077"/>
      <c r="J62" s="1078"/>
    </row>
    <row r="63" spans="1:10" ht="17" thickBot="1">
      <c r="A63" s="1079">
        <f>Arbejdstidsoversigt!B108</f>
        <v>0</v>
      </c>
      <c r="B63" s="1080"/>
      <c r="C63" s="1080"/>
      <c r="D63" s="1080"/>
      <c r="E63" s="1081"/>
      <c r="F63" s="1082"/>
      <c r="G63" s="1083"/>
      <c r="H63" s="1083"/>
      <c r="I63" s="1083"/>
      <c r="J63" s="1084"/>
    </row>
    <row r="64" spans="1:10" ht="17" thickBot="1"/>
    <row r="65" spans="1:10" ht="33" customHeight="1">
      <c r="A65" s="1085" t="s">
        <v>172</v>
      </c>
      <c r="B65" s="1058"/>
      <c r="C65" s="1058"/>
      <c r="D65" s="1058"/>
      <c r="E65" s="1058"/>
      <c r="F65" s="1058"/>
      <c r="G65" s="1058"/>
      <c r="H65" s="1058"/>
      <c r="I65" s="1058"/>
      <c r="J65" s="1059"/>
    </row>
    <row r="66" spans="1:10" ht="32" customHeight="1">
      <c r="A66" s="1072" t="s">
        <v>154</v>
      </c>
      <c r="B66" s="1025"/>
      <c r="C66" s="1025"/>
      <c r="D66" s="1025"/>
      <c r="E66" s="1026"/>
      <c r="F66" s="1024" t="s">
        <v>120</v>
      </c>
      <c r="G66" s="1025"/>
      <c r="H66" s="1025"/>
      <c r="I66" s="1025"/>
      <c r="J66" s="1049"/>
    </row>
    <row r="67" spans="1:10" ht="18" customHeight="1">
      <c r="A67" s="1086">
        <f>Arbejdstidsoversigt!B120</f>
        <v>0</v>
      </c>
      <c r="B67" s="1087"/>
      <c r="C67" s="1087"/>
      <c r="D67" s="1087"/>
      <c r="E67" s="1088"/>
      <c r="F67" s="1089"/>
      <c r="G67" s="1090"/>
      <c r="H67" s="1090"/>
      <c r="I67" s="1090"/>
      <c r="J67" s="1091"/>
    </row>
    <row r="68" spans="1:10">
      <c r="A68" s="1086">
        <f>Arbejdstidsoversigt!B121</f>
        <v>0</v>
      </c>
      <c r="B68" s="1087"/>
      <c r="C68" s="1087"/>
      <c r="D68" s="1087"/>
      <c r="E68" s="1088"/>
      <c r="F68" s="1092"/>
      <c r="G68" s="1093"/>
      <c r="H68" s="1093"/>
      <c r="I68" s="1093"/>
      <c r="J68" s="1094"/>
    </row>
    <row r="69" spans="1:10">
      <c r="A69" s="1086">
        <f>Arbejdstidsoversigt!B122</f>
        <v>0</v>
      </c>
      <c r="B69" s="1087"/>
      <c r="C69" s="1087"/>
      <c r="D69" s="1087"/>
      <c r="E69" s="1088"/>
      <c r="F69" s="1089"/>
      <c r="G69" s="1090"/>
      <c r="H69" s="1090"/>
      <c r="I69" s="1090"/>
      <c r="J69" s="1091"/>
    </row>
    <row r="70" spans="1:10">
      <c r="A70" s="1086">
        <f>Arbejdstidsoversigt!B123</f>
        <v>0</v>
      </c>
      <c r="B70" s="1087"/>
      <c r="C70" s="1087"/>
      <c r="D70" s="1087"/>
      <c r="E70" s="1088"/>
      <c r="F70" s="1095"/>
      <c r="G70" s="1096"/>
      <c r="H70" s="1096"/>
      <c r="I70" s="1096"/>
      <c r="J70" s="1097"/>
    </row>
    <row r="71" spans="1:10">
      <c r="A71" s="1086">
        <f>Arbejdstidsoversigt!B124</f>
        <v>0</v>
      </c>
      <c r="B71" s="1087"/>
      <c r="C71" s="1087"/>
      <c r="D71" s="1087"/>
      <c r="E71" s="1088"/>
      <c r="F71" s="1095"/>
      <c r="G71" s="1096"/>
      <c r="H71" s="1096"/>
      <c r="I71" s="1096"/>
      <c r="J71" s="1097"/>
    </row>
    <row r="72" spans="1:10">
      <c r="A72" s="1086">
        <f>Arbejdstidsoversigt!B125</f>
        <v>0</v>
      </c>
      <c r="B72" s="1087"/>
      <c r="C72" s="1087"/>
      <c r="D72" s="1087"/>
      <c r="E72" s="1088"/>
      <c r="F72" s="1095"/>
      <c r="G72" s="1096"/>
      <c r="H72" s="1096"/>
      <c r="I72" s="1096"/>
      <c r="J72" s="1097"/>
    </row>
    <row r="73" spans="1:10">
      <c r="A73" s="1086">
        <f>Arbejdstidsoversigt!B126</f>
        <v>0</v>
      </c>
      <c r="B73" s="1087"/>
      <c r="C73" s="1087"/>
      <c r="D73" s="1087"/>
      <c r="E73" s="1088"/>
      <c r="F73" s="1095"/>
      <c r="G73" s="1096"/>
      <c r="H73" s="1096"/>
      <c r="I73" s="1096"/>
      <c r="J73" s="1097"/>
    </row>
    <row r="74" spans="1:10">
      <c r="A74" s="1086">
        <f>Arbejdstidsoversigt!B127</f>
        <v>0</v>
      </c>
      <c r="B74" s="1087"/>
      <c r="C74" s="1087"/>
      <c r="D74" s="1087"/>
      <c r="E74" s="1088"/>
      <c r="F74" s="756"/>
      <c r="G74" s="757"/>
      <c r="H74" s="757"/>
      <c r="I74" s="757"/>
      <c r="J74" s="1027"/>
    </row>
    <row r="75" spans="1:10">
      <c r="A75" s="1086">
        <f>Arbejdstidsoversigt!B128</f>
        <v>0</v>
      </c>
      <c r="B75" s="1087"/>
      <c r="C75" s="1087"/>
      <c r="D75" s="1087"/>
      <c r="E75" s="1088"/>
      <c r="F75" s="1076"/>
      <c r="G75" s="1077"/>
      <c r="H75" s="1077"/>
      <c r="I75" s="1077"/>
      <c r="J75" s="1078"/>
    </row>
    <row r="76" spans="1:10">
      <c r="A76" s="1086">
        <f>Arbejdstidsoversigt!B129</f>
        <v>0</v>
      </c>
      <c r="B76" s="1087"/>
      <c r="C76" s="1087"/>
      <c r="D76" s="1087"/>
      <c r="E76" s="1088"/>
      <c r="F76" s="1076"/>
      <c r="G76" s="1077"/>
      <c r="H76" s="1077"/>
      <c r="I76" s="1077"/>
      <c r="J76" s="1078"/>
    </row>
    <row r="77" spans="1:10">
      <c r="A77" s="1086">
        <f>Arbejdstidsoversigt!B130</f>
        <v>0</v>
      </c>
      <c r="B77" s="1087"/>
      <c r="C77" s="1087"/>
      <c r="D77" s="1087"/>
      <c r="E77" s="1088"/>
      <c r="F77" s="1076"/>
      <c r="G77" s="1077"/>
      <c r="H77" s="1077"/>
      <c r="I77" s="1077"/>
      <c r="J77" s="1078"/>
    </row>
    <row r="78" spans="1:10">
      <c r="A78" s="1086">
        <f>Arbejdstidsoversigt!B131</f>
        <v>0</v>
      </c>
      <c r="B78" s="1087"/>
      <c r="C78" s="1087"/>
      <c r="D78" s="1087"/>
      <c r="E78" s="1088"/>
      <c r="F78" s="1076"/>
      <c r="G78" s="1077"/>
      <c r="H78" s="1077"/>
      <c r="I78" s="1077"/>
      <c r="J78" s="1078"/>
    </row>
    <row r="79" spans="1:10">
      <c r="A79" s="1086">
        <f>Arbejdstidsoversigt!B132</f>
        <v>0</v>
      </c>
      <c r="B79" s="1087"/>
      <c r="C79" s="1087"/>
      <c r="D79" s="1087"/>
      <c r="E79" s="1088"/>
      <c r="F79" s="1076"/>
      <c r="G79" s="1077"/>
      <c r="H79" s="1077"/>
      <c r="I79" s="1077"/>
      <c r="J79" s="1078"/>
    </row>
    <row r="80" spans="1:10">
      <c r="A80" s="1086">
        <f>Arbejdstidsoversigt!B133</f>
        <v>0</v>
      </c>
      <c r="B80" s="1087"/>
      <c r="C80" s="1087"/>
      <c r="D80" s="1087"/>
      <c r="E80" s="1088"/>
      <c r="F80" s="1076"/>
      <c r="G80" s="1077"/>
      <c r="H80" s="1077"/>
      <c r="I80" s="1077"/>
      <c r="J80" s="1078"/>
    </row>
    <row r="81" spans="1:10">
      <c r="A81" s="1086">
        <f>Arbejdstidsoversigt!B134</f>
        <v>0</v>
      </c>
      <c r="B81" s="1087"/>
      <c r="C81" s="1087"/>
      <c r="D81" s="1087"/>
      <c r="E81" s="1088"/>
      <c r="F81" s="1076"/>
      <c r="G81" s="1077"/>
      <c r="H81" s="1077"/>
      <c r="I81" s="1077"/>
      <c r="J81" s="1078"/>
    </row>
    <row r="82" spans="1:10">
      <c r="A82" s="1086">
        <f>Arbejdstidsoversigt!B135</f>
        <v>0</v>
      </c>
      <c r="B82" s="1087"/>
      <c r="C82" s="1087"/>
      <c r="D82" s="1087"/>
      <c r="E82" s="1088"/>
      <c r="F82" s="1076"/>
      <c r="G82" s="1077"/>
      <c r="H82" s="1077"/>
      <c r="I82" s="1077"/>
      <c r="J82" s="1078"/>
    </row>
    <row r="83" spans="1:10">
      <c r="A83" s="1086">
        <f>Arbejdstidsoversigt!B136</f>
        <v>0</v>
      </c>
      <c r="B83" s="1087"/>
      <c r="C83" s="1087"/>
      <c r="D83" s="1087"/>
      <c r="E83" s="1088"/>
      <c r="F83" s="1076"/>
      <c r="G83" s="1077"/>
      <c r="H83" s="1077"/>
      <c r="I83" s="1077"/>
      <c r="J83" s="1078"/>
    </row>
    <row r="84" spans="1:10">
      <c r="A84" s="1086">
        <f>Arbejdstidsoversigt!B137</f>
        <v>0</v>
      </c>
      <c r="B84" s="1087"/>
      <c r="C84" s="1087"/>
      <c r="D84" s="1087"/>
      <c r="E84" s="1088"/>
      <c r="F84" s="1076"/>
      <c r="G84" s="1077"/>
      <c r="H84" s="1077"/>
      <c r="I84" s="1077"/>
      <c r="J84" s="1078"/>
    </row>
    <row r="85" spans="1:10">
      <c r="A85" s="1086">
        <f>Arbejdstidsoversigt!B138</f>
        <v>0</v>
      </c>
      <c r="B85" s="1087"/>
      <c r="C85" s="1087"/>
      <c r="D85" s="1087"/>
      <c r="E85" s="1088"/>
      <c r="F85" s="1076"/>
      <c r="G85" s="1077"/>
      <c r="H85" s="1077"/>
      <c r="I85" s="1077"/>
      <c r="J85" s="1078"/>
    </row>
    <row r="86" spans="1:10">
      <c r="A86" s="1086">
        <f>Arbejdstidsoversigt!B139</f>
        <v>0</v>
      </c>
      <c r="B86" s="1087"/>
      <c r="C86" s="1087"/>
      <c r="D86" s="1087"/>
      <c r="E86" s="1088"/>
      <c r="F86" s="1076"/>
      <c r="G86" s="1077"/>
      <c r="H86" s="1077"/>
      <c r="I86" s="1077"/>
      <c r="J86" s="1078"/>
    </row>
    <row r="87" spans="1:10">
      <c r="A87" s="1086">
        <f>Arbejdstidsoversigt!B140</f>
        <v>0</v>
      </c>
      <c r="B87" s="1087"/>
      <c r="C87" s="1087"/>
      <c r="D87" s="1087"/>
      <c r="E87" s="1088"/>
      <c r="F87" s="1076"/>
      <c r="G87" s="1077"/>
      <c r="H87" s="1077"/>
      <c r="I87" s="1077"/>
      <c r="J87" s="1078"/>
    </row>
    <row r="88" spans="1:10">
      <c r="A88" s="1086">
        <f>Arbejdstidsoversigt!B141</f>
        <v>0</v>
      </c>
      <c r="B88" s="1087"/>
      <c r="C88" s="1087"/>
      <c r="D88" s="1087"/>
      <c r="E88" s="1088"/>
      <c r="F88" s="1076"/>
      <c r="G88" s="1077"/>
      <c r="H88" s="1077"/>
      <c r="I88" s="1077"/>
      <c r="J88" s="1078"/>
    </row>
    <row r="89" spans="1:10">
      <c r="A89" s="1086">
        <f>Arbejdstidsoversigt!B142</f>
        <v>0</v>
      </c>
      <c r="B89" s="1087"/>
      <c r="C89" s="1087"/>
      <c r="D89" s="1087"/>
      <c r="E89" s="1088"/>
      <c r="F89" s="1076"/>
      <c r="G89" s="1077"/>
      <c r="H89" s="1077"/>
      <c r="I89" s="1077"/>
      <c r="J89" s="1078"/>
    </row>
    <row r="90" spans="1:10">
      <c r="A90" s="1086">
        <f>Arbejdstidsoversigt!B143</f>
        <v>0</v>
      </c>
      <c r="B90" s="1087"/>
      <c r="C90" s="1087"/>
      <c r="D90" s="1087"/>
      <c r="E90" s="1088"/>
      <c r="F90" s="1076"/>
      <c r="G90" s="1077"/>
      <c r="H90" s="1077"/>
      <c r="I90" s="1077"/>
      <c r="J90" s="1078"/>
    </row>
    <row r="91" spans="1:10">
      <c r="A91" s="1086">
        <f>Arbejdstidsoversigt!B144</f>
        <v>0</v>
      </c>
      <c r="B91" s="1087"/>
      <c r="C91" s="1087"/>
      <c r="D91" s="1087"/>
      <c r="E91" s="1088"/>
      <c r="F91" s="1076"/>
      <c r="G91" s="1077"/>
      <c r="H91" s="1077"/>
      <c r="I91" s="1077"/>
      <c r="J91" s="1078"/>
    </row>
    <row r="92" spans="1:10">
      <c r="A92" s="1086">
        <f>Arbejdstidsoversigt!B145</f>
        <v>0</v>
      </c>
      <c r="B92" s="1087"/>
      <c r="C92" s="1087"/>
      <c r="D92" s="1087"/>
      <c r="E92" s="1088"/>
      <c r="F92" s="1076"/>
      <c r="G92" s="1077"/>
      <c r="H92" s="1077"/>
      <c r="I92" s="1077"/>
      <c r="J92" s="1078"/>
    </row>
    <row r="93" spans="1:10">
      <c r="A93" s="1086">
        <f>Arbejdstidsoversigt!B146</f>
        <v>0</v>
      </c>
      <c r="B93" s="1087"/>
      <c r="C93" s="1087"/>
      <c r="D93" s="1087"/>
      <c r="E93" s="1088"/>
      <c r="F93" s="1076"/>
      <c r="G93" s="1077"/>
      <c r="H93" s="1077"/>
      <c r="I93" s="1077"/>
      <c r="J93" s="1078"/>
    </row>
    <row r="94" spans="1:10">
      <c r="A94" s="1086">
        <f>Arbejdstidsoversigt!B147</f>
        <v>0</v>
      </c>
      <c r="B94" s="1087"/>
      <c r="C94" s="1087"/>
      <c r="D94" s="1087"/>
      <c r="E94" s="1088"/>
      <c r="F94" s="1076"/>
      <c r="G94" s="1077"/>
      <c r="H94" s="1077"/>
      <c r="I94" s="1077"/>
      <c r="J94" s="1078"/>
    </row>
    <row r="95" spans="1:10" ht="17" thickBot="1">
      <c r="A95" s="1098">
        <f>Arbejdstidsoversigt!B148</f>
        <v>0</v>
      </c>
      <c r="B95" s="1099"/>
      <c r="C95" s="1099"/>
      <c r="D95" s="1099"/>
      <c r="E95" s="1100"/>
      <c r="F95" s="1101"/>
      <c r="G95" s="1102"/>
      <c r="H95" s="1102"/>
      <c r="I95" s="1102"/>
      <c r="J95" s="1103"/>
    </row>
    <row r="96" spans="1:10" ht="17" thickBot="1"/>
    <row r="97" spans="1:10" ht="31">
      <c r="A97" s="1085" t="s">
        <v>173</v>
      </c>
      <c r="B97" s="1058"/>
      <c r="C97" s="1058"/>
      <c r="D97" s="1058"/>
      <c r="E97" s="1058"/>
      <c r="F97" s="1058"/>
      <c r="G97" s="1058"/>
      <c r="H97" s="1058"/>
      <c r="I97" s="1058"/>
      <c r="J97" s="1059"/>
    </row>
    <row r="98" spans="1:10">
      <c r="A98" s="1072" t="s">
        <v>154</v>
      </c>
      <c r="B98" s="1025"/>
      <c r="C98" s="1025"/>
      <c r="D98" s="1025"/>
      <c r="E98" s="1026"/>
      <c r="F98" s="1024" t="s">
        <v>120</v>
      </c>
      <c r="G98" s="1025"/>
      <c r="H98" s="1025"/>
      <c r="I98" s="1025"/>
      <c r="J98" s="1049"/>
    </row>
    <row r="99" spans="1:10">
      <c r="A99" s="1017">
        <f>Arbejdstidsoversigt!B166</f>
        <v>0</v>
      </c>
      <c r="B99" s="1018"/>
      <c r="C99" s="1018"/>
      <c r="D99" s="1018"/>
      <c r="E99" s="1019"/>
      <c r="F99" s="1089"/>
      <c r="G99" s="1090"/>
      <c r="H99" s="1090"/>
      <c r="I99" s="1090"/>
      <c r="J99" s="1091"/>
    </row>
    <row r="100" spans="1:10">
      <c r="A100" s="1017">
        <f>Arbejdstidsoversigt!B167</f>
        <v>0</v>
      </c>
      <c r="B100" s="1018"/>
      <c r="C100" s="1018"/>
      <c r="D100" s="1018"/>
      <c r="E100" s="1019"/>
      <c r="F100" s="1092"/>
      <c r="G100" s="1093"/>
      <c r="H100" s="1093"/>
      <c r="I100" s="1093"/>
      <c r="J100" s="1094"/>
    </row>
    <row r="101" spans="1:10">
      <c r="A101" s="1017">
        <f>Arbejdstidsoversigt!B168</f>
        <v>0</v>
      </c>
      <c r="B101" s="1018"/>
      <c r="C101" s="1018"/>
      <c r="D101" s="1018"/>
      <c r="E101" s="1019"/>
      <c r="F101" s="1089"/>
      <c r="G101" s="1090"/>
      <c r="H101" s="1090"/>
      <c r="I101" s="1090"/>
      <c r="J101" s="1091"/>
    </row>
    <row r="102" spans="1:10">
      <c r="A102" s="1017">
        <f>Arbejdstidsoversigt!B169</f>
        <v>0</v>
      </c>
      <c r="B102" s="1018"/>
      <c r="C102" s="1018"/>
      <c r="D102" s="1018"/>
      <c r="E102" s="1019"/>
      <c r="F102" s="1095"/>
      <c r="G102" s="1096"/>
      <c r="H102" s="1096"/>
      <c r="I102" s="1096"/>
      <c r="J102" s="1097"/>
    </row>
    <row r="103" spans="1:10">
      <c r="A103" s="1017">
        <f>Arbejdstidsoversigt!B170</f>
        <v>0</v>
      </c>
      <c r="B103" s="1018"/>
      <c r="C103" s="1018"/>
      <c r="D103" s="1018"/>
      <c r="E103" s="1019"/>
      <c r="F103" s="1095"/>
      <c r="G103" s="1096"/>
      <c r="H103" s="1096"/>
      <c r="I103" s="1096"/>
      <c r="J103" s="1097"/>
    </row>
    <row r="104" spans="1:10">
      <c r="A104" s="1017">
        <f>Arbejdstidsoversigt!B171</f>
        <v>0</v>
      </c>
      <c r="B104" s="1018"/>
      <c r="C104" s="1018"/>
      <c r="D104" s="1018"/>
      <c r="E104" s="1019"/>
      <c r="F104" s="1095"/>
      <c r="G104" s="1096"/>
      <c r="H104" s="1096"/>
      <c r="I104" s="1096"/>
      <c r="J104" s="1097"/>
    </row>
    <row r="105" spans="1:10">
      <c r="A105" s="1017">
        <f>Arbejdstidsoversigt!B172</f>
        <v>0</v>
      </c>
      <c r="B105" s="1018"/>
      <c r="C105" s="1018"/>
      <c r="D105" s="1018"/>
      <c r="E105" s="1019"/>
      <c r="F105" s="1095"/>
      <c r="G105" s="1096"/>
      <c r="H105" s="1096"/>
      <c r="I105" s="1096"/>
      <c r="J105" s="1097"/>
    </row>
    <row r="106" spans="1:10">
      <c r="A106" s="1017">
        <f>Arbejdstidsoversigt!B173</f>
        <v>0</v>
      </c>
      <c r="B106" s="1018"/>
      <c r="C106" s="1018"/>
      <c r="D106" s="1018"/>
      <c r="E106" s="1019"/>
      <c r="F106" s="1095"/>
      <c r="G106" s="1096"/>
      <c r="H106" s="1096"/>
      <c r="I106" s="1096"/>
      <c r="J106" s="1097"/>
    </row>
    <row r="107" spans="1:10">
      <c r="A107" s="1017">
        <f>Arbejdstidsoversigt!B174</f>
        <v>0</v>
      </c>
      <c r="B107" s="1018"/>
      <c r="C107" s="1018"/>
      <c r="D107" s="1018"/>
      <c r="E107" s="1019"/>
      <c r="F107" s="1104"/>
      <c r="G107" s="1105"/>
      <c r="H107" s="1105"/>
      <c r="I107" s="1105"/>
      <c r="J107" s="1106"/>
    </row>
    <row r="108" spans="1:10">
      <c r="A108" s="1017">
        <f>Arbejdstidsoversigt!B175</f>
        <v>0</v>
      </c>
      <c r="B108" s="1018"/>
      <c r="C108" s="1018"/>
      <c r="D108" s="1018"/>
      <c r="E108" s="1019"/>
      <c r="F108" s="1104"/>
      <c r="G108" s="1105"/>
      <c r="H108" s="1105"/>
      <c r="I108" s="1105"/>
      <c r="J108" s="1106"/>
    </row>
    <row r="109" spans="1:10">
      <c r="A109" s="1017">
        <f>Arbejdstidsoversigt!B176</f>
        <v>0</v>
      </c>
      <c r="B109" s="1018"/>
      <c r="C109" s="1018"/>
      <c r="D109" s="1018"/>
      <c r="E109" s="1019"/>
      <c r="F109" s="1076"/>
      <c r="G109" s="1077"/>
      <c r="H109" s="1077"/>
      <c r="I109" s="1077"/>
      <c r="J109" s="1078"/>
    </row>
    <row r="110" spans="1:10">
      <c r="A110" s="1017">
        <f>Arbejdstidsoversigt!B177</f>
        <v>0</v>
      </c>
      <c r="B110" s="1018"/>
      <c r="C110" s="1018"/>
      <c r="D110" s="1018"/>
      <c r="E110" s="1019"/>
      <c r="F110" s="1095"/>
      <c r="G110" s="1096"/>
      <c r="H110" s="1096"/>
      <c r="I110" s="1096"/>
      <c r="J110" s="1097"/>
    </row>
    <row r="111" spans="1:10">
      <c r="A111" s="1017">
        <f>Arbejdstidsoversigt!B178</f>
        <v>0</v>
      </c>
      <c r="B111" s="1018"/>
      <c r="C111" s="1018"/>
      <c r="D111" s="1018"/>
      <c r="E111" s="1019"/>
      <c r="F111" s="1095"/>
      <c r="G111" s="1096"/>
      <c r="H111" s="1096"/>
      <c r="I111" s="1096"/>
      <c r="J111" s="1097"/>
    </row>
    <row r="112" spans="1:10">
      <c r="A112" s="1017">
        <f>Arbejdstidsoversigt!B179</f>
        <v>0</v>
      </c>
      <c r="B112" s="1018"/>
      <c r="C112" s="1018"/>
      <c r="D112" s="1018"/>
      <c r="E112" s="1019"/>
      <c r="F112" s="1095"/>
      <c r="G112" s="1096"/>
      <c r="H112" s="1096"/>
      <c r="I112" s="1096"/>
      <c r="J112" s="1097"/>
    </row>
    <row r="113" spans="1:10">
      <c r="A113" s="1017">
        <f>Arbejdstidsoversigt!B180</f>
        <v>0</v>
      </c>
      <c r="B113" s="1018"/>
      <c r="C113" s="1018"/>
      <c r="D113" s="1018"/>
      <c r="E113" s="1019"/>
      <c r="F113" s="1095"/>
      <c r="G113" s="1096"/>
      <c r="H113" s="1096"/>
      <c r="I113" s="1096"/>
      <c r="J113" s="1097"/>
    </row>
    <row r="114" spans="1:10" ht="17" thickBot="1">
      <c r="A114" s="1017">
        <f>Arbejdstidsoversigt!B181</f>
        <v>0</v>
      </c>
      <c r="B114" s="1018"/>
      <c r="C114" s="1018"/>
      <c r="D114" s="1018"/>
      <c r="E114" s="1019"/>
      <c r="F114" s="1101"/>
      <c r="G114" s="1102"/>
      <c r="H114" s="1102"/>
      <c r="I114" s="1102"/>
      <c r="J114" s="1103"/>
    </row>
    <row r="115" spans="1:10" ht="17" thickBot="1"/>
    <row r="116" spans="1:10" ht="31">
      <c r="A116" s="1107" t="s">
        <v>108</v>
      </c>
      <c r="B116" s="1108"/>
      <c r="C116" s="1108"/>
      <c r="D116" s="1108"/>
      <c r="E116" s="1108"/>
      <c r="F116" s="1108"/>
      <c r="G116" s="1108"/>
      <c r="H116" s="1108"/>
      <c r="I116" s="1109"/>
      <c r="J116" s="1110" t="s">
        <v>98</v>
      </c>
    </row>
    <row r="117" spans="1:10" ht="30" customHeight="1">
      <c r="A117" s="1112" t="s">
        <v>174</v>
      </c>
      <c r="B117" s="829"/>
      <c r="C117" s="829"/>
      <c r="D117" s="829"/>
      <c r="E117" s="829"/>
      <c r="F117" s="829"/>
      <c r="G117" s="829"/>
      <c r="H117" s="829"/>
      <c r="I117" s="830"/>
      <c r="J117" s="1111"/>
    </row>
    <row r="118" spans="1:10" ht="21">
      <c r="A118" s="1113" t="s">
        <v>121</v>
      </c>
      <c r="B118" s="1114"/>
      <c r="C118" s="1114"/>
      <c r="D118" s="1114"/>
      <c r="E118" s="1114"/>
      <c r="F118" s="1114"/>
      <c r="G118" s="1114"/>
      <c r="H118" s="1114"/>
      <c r="I118" s="1115"/>
      <c r="J118" s="174">
        <f>Arbejdstidsoversigt!I213</f>
        <v>0</v>
      </c>
    </row>
    <row r="119" spans="1:10">
      <c r="A119" s="1116"/>
      <c r="B119" s="757"/>
      <c r="C119" s="757"/>
      <c r="D119" s="757"/>
      <c r="E119" s="757"/>
      <c r="F119" s="757"/>
      <c r="G119" s="757"/>
      <c r="H119" s="757"/>
      <c r="I119" s="757"/>
      <c r="J119" s="1027"/>
    </row>
    <row r="120" spans="1:10">
      <c r="A120" s="1116"/>
      <c r="B120" s="757"/>
      <c r="C120" s="757"/>
      <c r="D120" s="757"/>
      <c r="E120" s="757"/>
      <c r="F120" s="757"/>
      <c r="G120" s="757"/>
      <c r="H120" s="757"/>
      <c r="I120" s="757"/>
      <c r="J120" s="1027"/>
    </row>
    <row r="121" spans="1:10">
      <c r="A121" s="1116"/>
      <c r="B121" s="757"/>
      <c r="C121" s="757"/>
      <c r="D121" s="757"/>
      <c r="E121" s="757"/>
      <c r="F121" s="757"/>
      <c r="G121" s="757"/>
      <c r="H121" s="757"/>
      <c r="I121" s="757"/>
      <c r="J121" s="1027"/>
    </row>
    <row r="122" spans="1:10">
      <c r="A122" s="1116"/>
      <c r="B122" s="757"/>
      <c r="C122" s="757"/>
      <c r="D122" s="757"/>
      <c r="E122" s="757"/>
      <c r="F122" s="757"/>
      <c r="G122" s="757"/>
      <c r="H122" s="757"/>
      <c r="I122" s="757"/>
      <c r="J122" s="1027"/>
    </row>
    <row r="123" spans="1:10">
      <c r="A123" s="1116"/>
      <c r="B123" s="757"/>
      <c r="C123" s="757"/>
      <c r="D123" s="757"/>
      <c r="E123" s="757"/>
      <c r="F123" s="757"/>
      <c r="G123" s="757"/>
      <c r="H123" s="757"/>
      <c r="I123" s="757"/>
      <c r="J123" s="1027"/>
    </row>
    <row r="124" spans="1:10">
      <c r="A124" s="1123"/>
      <c r="B124" s="1029"/>
      <c r="C124" s="1029"/>
      <c r="D124" s="1029"/>
      <c r="E124" s="1029"/>
      <c r="F124" s="1029"/>
      <c r="G124" s="1029"/>
      <c r="H124" s="1029"/>
      <c r="I124" s="1029"/>
      <c r="J124" s="1030"/>
    </row>
    <row r="125" spans="1:10">
      <c r="A125" s="1124"/>
      <c r="B125" s="1125"/>
      <c r="C125" s="1125"/>
      <c r="D125" s="1125"/>
      <c r="E125" s="1125"/>
      <c r="F125" s="1125"/>
      <c r="G125" s="1125"/>
      <c r="H125" s="1125"/>
      <c r="I125" s="1125"/>
      <c r="J125" s="1126"/>
    </row>
    <row r="126" spans="1:10">
      <c r="A126" s="1117"/>
      <c r="B126" s="1118"/>
      <c r="C126" s="1118"/>
      <c r="D126" s="1118"/>
      <c r="E126" s="1118"/>
      <c r="F126" s="1118"/>
      <c r="G126" s="1118"/>
      <c r="H126" s="1118"/>
      <c r="I126" s="1118"/>
      <c r="J126" s="1119"/>
    </row>
    <row r="127" spans="1:10">
      <c r="A127" s="175"/>
      <c r="B127" s="171"/>
      <c r="C127" s="171"/>
      <c r="D127" s="171"/>
      <c r="E127" s="171"/>
      <c r="F127" s="171"/>
      <c r="G127" s="171"/>
      <c r="H127" s="171"/>
      <c r="I127" s="171"/>
      <c r="J127" s="176"/>
    </row>
    <row r="128" spans="1:10">
      <c r="A128" s="1117"/>
      <c r="B128" s="1118"/>
      <c r="C128" s="1118"/>
      <c r="D128" s="1118"/>
      <c r="E128" s="1118"/>
      <c r="F128" s="1118"/>
      <c r="G128" s="1118"/>
      <c r="H128" s="1118"/>
      <c r="I128" s="1118"/>
      <c r="J128" s="1119"/>
    </row>
    <row r="129" spans="1:10">
      <c r="A129" s="1117"/>
      <c r="B129" s="1118"/>
      <c r="C129" s="1118"/>
      <c r="D129" s="1118"/>
      <c r="E129" s="1118"/>
      <c r="F129" s="1118"/>
      <c r="G129" s="1118"/>
      <c r="H129" s="1118"/>
      <c r="I129" s="1118"/>
      <c r="J129" s="1119"/>
    </row>
    <row r="130" spans="1:10">
      <c r="A130" s="1117"/>
      <c r="B130" s="1118"/>
      <c r="C130" s="1118"/>
      <c r="D130" s="1118"/>
      <c r="E130" s="1118"/>
      <c r="F130" s="1118"/>
      <c r="G130" s="1118"/>
      <c r="H130" s="1118"/>
      <c r="I130" s="1118"/>
      <c r="J130" s="1119"/>
    </row>
    <row r="131" spans="1:10">
      <c r="A131" s="1117"/>
      <c r="B131" s="1118"/>
      <c r="C131" s="1118"/>
      <c r="D131" s="1118"/>
      <c r="E131" s="1118"/>
      <c r="F131" s="1118"/>
      <c r="G131" s="1118"/>
      <c r="H131" s="1118"/>
      <c r="I131" s="1118"/>
      <c r="J131" s="1119"/>
    </row>
    <row r="132" spans="1:10">
      <c r="A132" s="1117"/>
      <c r="B132" s="1118"/>
      <c r="C132" s="1118"/>
      <c r="D132" s="1118"/>
      <c r="E132" s="1118"/>
      <c r="F132" s="1118"/>
      <c r="G132" s="1118"/>
      <c r="H132" s="1118"/>
      <c r="I132" s="1118"/>
      <c r="J132" s="1119"/>
    </row>
    <row r="133" spans="1:10">
      <c r="A133" s="1117"/>
      <c r="B133" s="1118"/>
      <c r="C133" s="1118"/>
      <c r="D133" s="1118"/>
      <c r="E133" s="1118"/>
      <c r="F133" s="1118"/>
      <c r="G133" s="1118"/>
      <c r="H133" s="1118"/>
      <c r="I133" s="1118"/>
      <c r="J133" s="1119"/>
    </row>
    <row r="134" spans="1:10">
      <c r="A134" s="1117"/>
      <c r="B134" s="1118"/>
      <c r="C134" s="1118"/>
      <c r="D134" s="1118"/>
      <c r="E134" s="1118"/>
      <c r="F134" s="1118"/>
      <c r="G134" s="1118"/>
      <c r="H134" s="1118"/>
      <c r="I134" s="1118"/>
      <c r="J134" s="1119"/>
    </row>
    <row r="135" spans="1:10">
      <c r="A135" s="1117"/>
      <c r="B135" s="1118"/>
      <c r="C135" s="1118"/>
      <c r="D135" s="1118"/>
      <c r="E135" s="1118"/>
      <c r="F135" s="1118"/>
      <c r="G135" s="1118"/>
      <c r="H135" s="1118"/>
      <c r="I135" s="1118"/>
      <c r="J135" s="1119"/>
    </row>
    <row r="136" spans="1:10">
      <c r="A136" s="1117"/>
      <c r="B136" s="1118"/>
      <c r="C136" s="1118"/>
      <c r="D136" s="1118"/>
      <c r="E136" s="1118"/>
      <c r="F136" s="1118"/>
      <c r="G136" s="1118"/>
      <c r="H136" s="1118"/>
      <c r="I136" s="1118"/>
      <c r="J136" s="1119"/>
    </row>
    <row r="137" spans="1:10" ht="17" thickBot="1">
      <c r="A137" s="1120"/>
      <c r="B137" s="1121"/>
      <c r="C137" s="1121"/>
      <c r="D137" s="1121"/>
      <c r="E137" s="1121"/>
      <c r="F137" s="1121"/>
      <c r="G137" s="1121"/>
      <c r="H137" s="1121"/>
      <c r="I137" s="1121"/>
      <c r="J137" s="1122"/>
    </row>
    <row r="157" ht="30" customHeight="1"/>
    <row r="158" ht="15" customHeight="1"/>
  </sheetData>
  <sheetProtection sheet="1" objects="1" scenarios="1"/>
  <autoFilter ref="B4:J13" xr:uid="{00000000-0009-0000-0000-000007000000}">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219">
    <mergeCell ref="F93:J93"/>
    <mergeCell ref="F94:J94"/>
    <mergeCell ref="A107:E107"/>
    <mergeCell ref="A108:E108"/>
    <mergeCell ref="A109:E109"/>
    <mergeCell ref="A89:E89"/>
    <mergeCell ref="A90:E90"/>
    <mergeCell ref="A91:E91"/>
    <mergeCell ref="A92:E92"/>
    <mergeCell ref="A93:E93"/>
    <mergeCell ref="A94:E94"/>
    <mergeCell ref="A104:E104"/>
    <mergeCell ref="F104:J104"/>
    <mergeCell ref="A105:E105"/>
    <mergeCell ref="F105:J105"/>
    <mergeCell ref="A106:E106"/>
    <mergeCell ref="F106:J106"/>
    <mergeCell ref="A97:J97"/>
    <mergeCell ref="A98:E98"/>
    <mergeCell ref="F98:J98"/>
    <mergeCell ref="F86:J86"/>
    <mergeCell ref="F87:J87"/>
    <mergeCell ref="F88:J88"/>
    <mergeCell ref="F89:J89"/>
    <mergeCell ref="F90:J90"/>
    <mergeCell ref="F91:J91"/>
    <mergeCell ref="F92:J92"/>
    <mergeCell ref="F75:J75"/>
    <mergeCell ref="F76:J76"/>
    <mergeCell ref="F77:J77"/>
    <mergeCell ref="F78:J78"/>
    <mergeCell ref="F79:J79"/>
    <mergeCell ref="F80:J80"/>
    <mergeCell ref="F81:J81"/>
    <mergeCell ref="F82:J82"/>
    <mergeCell ref="F83:J83"/>
    <mergeCell ref="A137:J137"/>
    <mergeCell ref="A120:J120"/>
    <mergeCell ref="A121:J121"/>
    <mergeCell ref="A122:J122"/>
    <mergeCell ref="A123:J123"/>
    <mergeCell ref="A124:J124"/>
    <mergeCell ref="A125:J125"/>
    <mergeCell ref="A126:J126"/>
    <mergeCell ref="A128:J128"/>
    <mergeCell ref="A129:J129"/>
    <mergeCell ref="A118:I118"/>
    <mergeCell ref="A119:J119"/>
    <mergeCell ref="A130:J130"/>
    <mergeCell ref="A131:J131"/>
    <mergeCell ref="A132:J132"/>
    <mergeCell ref="A133:J133"/>
    <mergeCell ref="A134:J134"/>
    <mergeCell ref="A135:J135"/>
    <mergeCell ref="A136:J136"/>
    <mergeCell ref="A112:E112"/>
    <mergeCell ref="F112:J112"/>
    <mergeCell ref="A113:E113"/>
    <mergeCell ref="F113:J113"/>
    <mergeCell ref="A114:E114"/>
    <mergeCell ref="F114:J114"/>
    <mergeCell ref="A116:I116"/>
    <mergeCell ref="J116:J117"/>
    <mergeCell ref="A117:I117"/>
    <mergeCell ref="A110:E110"/>
    <mergeCell ref="F110:J110"/>
    <mergeCell ref="A111:E111"/>
    <mergeCell ref="F111:J111"/>
    <mergeCell ref="A99:E99"/>
    <mergeCell ref="F99:J99"/>
    <mergeCell ref="A100:E100"/>
    <mergeCell ref="F100:J100"/>
    <mergeCell ref="A101:E101"/>
    <mergeCell ref="F101:J101"/>
    <mergeCell ref="A102:E102"/>
    <mergeCell ref="F102:J102"/>
    <mergeCell ref="A103:E103"/>
    <mergeCell ref="F103:J103"/>
    <mergeCell ref="F109:J109"/>
    <mergeCell ref="F107:J107"/>
    <mergeCell ref="F108:J108"/>
    <mergeCell ref="A72:E72"/>
    <mergeCell ref="F72:J72"/>
    <mergeCell ref="A73:E73"/>
    <mergeCell ref="F73:J73"/>
    <mergeCell ref="A74:E74"/>
    <mergeCell ref="F74:J74"/>
    <mergeCell ref="A95:E95"/>
    <mergeCell ref="F95:J95"/>
    <mergeCell ref="A75:E75"/>
    <mergeCell ref="A76:E76"/>
    <mergeCell ref="A77:E77"/>
    <mergeCell ref="A78:E78"/>
    <mergeCell ref="A79:E79"/>
    <mergeCell ref="A80:E80"/>
    <mergeCell ref="A81:E81"/>
    <mergeCell ref="A82:E82"/>
    <mergeCell ref="A83:E83"/>
    <mergeCell ref="A84:E84"/>
    <mergeCell ref="A85:E85"/>
    <mergeCell ref="A86:E86"/>
    <mergeCell ref="A87:E87"/>
    <mergeCell ref="A88:E88"/>
    <mergeCell ref="F84:J84"/>
    <mergeCell ref="F85:J85"/>
    <mergeCell ref="A67:E67"/>
    <mergeCell ref="F67:J67"/>
    <mergeCell ref="A68:E68"/>
    <mergeCell ref="F68:J68"/>
    <mergeCell ref="A69:E69"/>
    <mergeCell ref="F69:J69"/>
    <mergeCell ref="A70:E70"/>
    <mergeCell ref="F70:J70"/>
    <mergeCell ref="A71:E71"/>
    <mergeCell ref="F71:J71"/>
    <mergeCell ref="A60:E60"/>
    <mergeCell ref="F60:J60"/>
    <mergeCell ref="A62:E62"/>
    <mergeCell ref="F62:J62"/>
    <mergeCell ref="A63:E63"/>
    <mergeCell ref="F63:J63"/>
    <mergeCell ref="A65:J65"/>
    <mergeCell ref="A66:E66"/>
    <mergeCell ref="F66:J66"/>
    <mergeCell ref="D51:J51"/>
    <mergeCell ref="A56:E56"/>
    <mergeCell ref="F56:J56"/>
    <mergeCell ref="A57:E57"/>
    <mergeCell ref="F57:J57"/>
    <mergeCell ref="A58:E58"/>
    <mergeCell ref="F58:J58"/>
    <mergeCell ref="A59:E59"/>
    <mergeCell ref="F59:J59"/>
    <mergeCell ref="L39:O39"/>
    <mergeCell ref="B4:J4"/>
    <mergeCell ref="B6:J6"/>
    <mergeCell ref="A53:J53"/>
    <mergeCell ref="A54:E54"/>
    <mergeCell ref="F54:J54"/>
    <mergeCell ref="A55:E55"/>
    <mergeCell ref="F55:J55"/>
    <mergeCell ref="A49:C49"/>
    <mergeCell ref="A45:J45"/>
    <mergeCell ref="A46:C46"/>
    <mergeCell ref="D46:J46"/>
    <mergeCell ref="D49:J49"/>
    <mergeCell ref="B38:E38"/>
    <mergeCell ref="B39:E39"/>
    <mergeCell ref="B40:E40"/>
    <mergeCell ref="B41:E41"/>
    <mergeCell ref="B42:E42"/>
    <mergeCell ref="I5:J5"/>
    <mergeCell ref="G5:H5"/>
    <mergeCell ref="B5:F5"/>
    <mergeCell ref="F34:J34"/>
    <mergeCell ref="A50:C50"/>
    <mergeCell ref="A51:C51"/>
    <mergeCell ref="L4:T4"/>
    <mergeCell ref="L5:P5"/>
    <mergeCell ref="Q5:R5"/>
    <mergeCell ref="S5:T5"/>
    <mergeCell ref="L6:T6"/>
    <mergeCell ref="L8:M8"/>
    <mergeCell ref="P30:T30"/>
    <mergeCell ref="L37:O37"/>
    <mergeCell ref="L38:O38"/>
    <mergeCell ref="L33:O33"/>
    <mergeCell ref="L34:O34"/>
    <mergeCell ref="L35:O35"/>
    <mergeCell ref="P35:T35"/>
    <mergeCell ref="L36:O36"/>
    <mergeCell ref="P36:T36"/>
    <mergeCell ref="L29:O29"/>
    <mergeCell ref="P29:T29"/>
    <mergeCell ref="L30:O30"/>
    <mergeCell ref="L31:O31"/>
    <mergeCell ref="L32:O32"/>
    <mergeCell ref="E1:J1"/>
    <mergeCell ref="A1:D1"/>
    <mergeCell ref="E2:J2"/>
    <mergeCell ref="B36:E36"/>
    <mergeCell ref="F29:J29"/>
    <mergeCell ref="B31:E31"/>
    <mergeCell ref="B32:E32"/>
    <mergeCell ref="B33:E33"/>
    <mergeCell ref="B30:E30"/>
    <mergeCell ref="B34:E34"/>
    <mergeCell ref="B35:E35"/>
    <mergeCell ref="F35:J35"/>
    <mergeCell ref="F36:J36"/>
    <mergeCell ref="A4:A43"/>
    <mergeCell ref="B43:E43"/>
    <mergeCell ref="F43:J43"/>
    <mergeCell ref="B8:C8"/>
    <mergeCell ref="B37:E37"/>
    <mergeCell ref="L40:O40"/>
    <mergeCell ref="L41:O41"/>
    <mergeCell ref="L42:O42"/>
    <mergeCell ref="A61:E61"/>
    <mergeCell ref="O8:T8"/>
    <mergeCell ref="L28:T28"/>
    <mergeCell ref="B28:J28"/>
    <mergeCell ref="B29:E29"/>
    <mergeCell ref="E8:J8"/>
    <mergeCell ref="A47:C47"/>
    <mergeCell ref="D47:J47"/>
    <mergeCell ref="A48:C48"/>
    <mergeCell ref="D48:J48"/>
    <mergeCell ref="P31:T31"/>
    <mergeCell ref="P32:T32"/>
    <mergeCell ref="P33:T33"/>
    <mergeCell ref="P34:T34"/>
    <mergeCell ref="F30:J30"/>
    <mergeCell ref="F31:J31"/>
    <mergeCell ref="F32:J32"/>
    <mergeCell ref="F33:J33"/>
    <mergeCell ref="L43:O43"/>
    <mergeCell ref="P43:T43"/>
    <mergeCell ref="K4:K43"/>
  </mergeCells>
  <phoneticPr fontId="5" type="noConversion"/>
  <pageMargins left="0.75" right="0.75" top="1" bottom="1" header="0.5" footer="0.5"/>
  <pageSetup paperSize="9" scale="68" orientation="portrait" horizontalDpi="4294967292" verticalDpi="4294967292"/>
  <rowBreaks count="3" manualBreakCount="3">
    <brk id="43" max="16383" man="1"/>
    <brk id="63" max="16383" man="1"/>
    <brk id="95" max="16383" man="1"/>
  </rowBreaks>
  <colBreaks count="1" manualBreakCount="1">
    <brk id="10" max="1048575" man="1"/>
  </colBreaks>
  <ignoredErrors>
    <ignoredError sqref="G9"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51"/>
  <sheetViews>
    <sheetView zoomScale="150" zoomScaleNormal="150" zoomScalePageLayoutView="150" workbookViewId="0">
      <selection activeCell="C18" sqref="C18"/>
    </sheetView>
  </sheetViews>
  <sheetFormatPr baseColWidth="10" defaultColWidth="11" defaultRowHeight="16"/>
  <cols>
    <col min="1" max="1" width="4.6640625" customWidth="1"/>
    <col min="2" max="2" width="34.33203125" customWidth="1"/>
    <col min="3" max="3" width="12.5" customWidth="1"/>
    <col min="4" max="4" width="14.6640625" bestFit="1" customWidth="1"/>
    <col min="5" max="5" width="11.1640625" customWidth="1"/>
  </cols>
  <sheetData>
    <row r="2" spans="2:8">
      <c r="B2" s="2" t="s">
        <v>2</v>
      </c>
      <c r="C2" s="1056">
        <f>Arbejdstidsoversigt!C3:$E$3</f>
        <v>0</v>
      </c>
      <c r="D2" s="1063"/>
      <c r="E2" s="1057"/>
    </row>
    <row r="3" spans="2:8">
      <c r="B3" s="2" t="s">
        <v>3</v>
      </c>
      <c r="C3" s="960">
        <f>Arbejdstidsoversigt!$C$4:$E$4</f>
        <v>0</v>
      </c>
      <c r="D3" s="960"/>
      <c r="E3" s="960"/>
    </row>
    <row r="4" spans="2:8">
      <c r="B4" s="2" t="s">
        <v>4</v>
      </c>
      <c r="C4" s="960" t="e">
        <f>Arbejdstidsoversigt!#REF!</f>
        <v>#REF!</v>
      </c>
      <c r="D4" s="960"/>
      <c r="E4" s="960"/>
    </row>
    <row r="5" spans="2:8" ht="34" customHeight="1">
      <c r="B5" s="1128" t="s">
        <v>24</v>
      </c>
      <c r="C5" s="1128"/>
      <c r="D5" s="1128"/>
      <c r="E5" s="1128"/>
    </row>
    <row r="6" spans="2:8" ht="15" customHeight="1">
      <c r="B6" s="7"/>
      <c r="C6" s="7"/>
      <c r="D6" s="7"/>
      <c r="E6" s="7"/>
    </row>
    <row r="7" spans="2:8" ht="21">
      <c r="B7" s="11" t="s">
        <v>0</v>
      </c>
    </row>
    <row r="8" spans="2:8" ht="31">
      <c r="B8" s="940" t="s">
        <v>63</v>
      </c>
      <c r="C8" s="941"/>
      <c r="D8" s="941"/>
      <c r="E8" s="941"/>
      <c r="F8" s="941"/>
      <c r="G8" s="941"/>
      <c r="H8" s="942"/>
    </row>
    <row r="9" spans="2:8" ht="15" customHeight="1">
      <c r="B9" s="936" t="s">
        <v>67</v>
      </c>
      <c r="C9" s="937"/>
      <c r="D9" s="937"/>
      <c r="E9" s="937"/>
      <c r="F9" s="937"/>
      <c r="G9" s="937"/>
      <c r="H9" s="938"/>
    </row>
    <row r="10" spans="2:8" ht="34">
      <c r="B10" s="36" t="s">
        <v>47</v>
      </c>
      <c r="C10" s="41" t="s">
        <v>48</v>
      </c>
      <c r="D10" s="42" t="s">
        <v>49</v>
      </c>
      <c r="E10" s="42" t="s">
        <v>50</v>
      </c>
      <c r="F10" s="42" t="s">
        <v>51</v>
      </c>
      <c r="G10" s="42" t="s">
        <v>52</v>
      </c>
      <c r="H10" s="42" t="s">
        <v>53</v>
      </c>
    </row>
    <row r="11" spans="2:8" ht="15" customHeight="1">
      <c r="B11" s="33">
        <v>1</v>
      </c>
      <c r="C11" s="43">
        <v>15</v>
      </c>
      <c r="D11" s="43" t="s">
        <v>58</v>
      </c>
      <c r="E11" s="45"/>
      <c r="F11" s="45" t="s">
        <v>58</v>
      </c>
      <c r="G11" s="45"/>
      <c r="H11" s="43" t="s">
        <v>58</v>
      </c>
    </row>
    <row r="12" spans="2:8" ht="15" customHeight="1">
      <c r="B12" s="33">
        <v>2</v>
      </c>
      <c r="C12" s="43">
        <v>60</v>
      </c>
      <c r="D12" s="43" t="s">
        <v>7</v>
      </c>
      <c r="E12" s="45" t="s">
        <v>6</v>
      </c>
      <c r="F12" s="45" t="s">
        <v>9</v>
      </c>
      <c r="G12" s="45" t="s">
        <v>56</v>
      </c>
      <c r="H12" s="45" t="s">
        <v>60</v>
      </c>
    </row>
    <row r="13" spans="2:8" ht="15" customHeight="1">
      <c r="B13" s="33">
        <v>3</v>
      </c>
      <c r="C13" s="43">
        <v>60</v>
      </c>
      <c r="D13" s="43" t="s">
        <v>54</v>
      </c>
      <c r="E13" s="45" t="s">
        <v>7</v>
      </c>
      <c r="F13" s="45" t="s">
        <v>6</v>
      </c>
      <c r="G13" s="45" t="s">
        <v>56</v>
      </c>
      <c r="H13" s="45" t="s">
        <v>8</v>
      </c>
    </row>
    <row r="14" spans="2:8" ht="15" customHeight="1">
      <c r="B14" s="33">
        <v>4</v>
      </c>
      <c r="C14" s="43">
        <v>60</v>
      </c>
      <c r="D14" s="43" t="s">
        <v>9</v>
      </c>
      <c r="E14" s="45" t="s">
        <v>7</v>
      </c>
      <c r="F14" s="45" t="s">
        <v>6</v>
      </c>
      <c r="G14" s="45" t="s">
        <v>6</v>
      </c>
      <c r="H14" s="45" t="s">
        <v>8</v>
      </c>
    </row>
    <row r="15" spans="2:8" ht="15" customHeight="1">
      <c r="B15" s="33">
        <v>5</v>
      </c>
      <c r="C15" s="43">
        <v>45</v>
      </c>
      <c r="D15" s="43"/>
      <c r="E15" s="45" t="s">
        <v>57</v>
      </c>
      <c r="F15" s="45" t="s">
        <v>59</v>
      </c>
      <c r="G15" s="45"/>
      <c r="H15" s="45" t="s">
        <v>6</v>
      </c>
    </row>
    <row r="16" spans="2:8" ht="15" customHeight="1">
      <c r="B16" s="46">
        <v>6</v>
      </c>
      <c r="C16" s="43">
        <v>45</v>
      </c>
      <c r="D16" s="45" t="s">
        <v>55</v>
      </c>
      <c r="E16" s="45" t="s">
        <v>57</v>
      </c>
      <c r="F16" s="45" t="s">
        <v>59</v>
      </c>
      <c r="G16" s="45"/>
      <c r="H16" s="43"/>
    </row>
    <row r="17" spans="1:8" ht="15" customHeight="1">
      <c r="B17" s="46">
        <v>7</v>
      </c>
      <c r="C17" s="43">
        <v>45</v>
      </c>
      <c r="D17" s="45" t="s">
        <v>55</v>
      </c>
      <c r="E17" s="45"/>
      <c r="F17" s="45"/>
      <c r="G17" s="45"/>
      <c r="H17" s="43"/>
    </row>
    <row r="18" spans="1:8" ht="15" customHeight="1">
      <c r="B18" s="46">
        <v>8</v>
      </c>
      <c r="C18" s="43">
        <v>45</v>
      </c>
      <c r="D18" s="45"/>
      <c r="E18" s="45"/>
      <c r="F18" s="45"/>
      <c r="G18" s="45"/>
      <c r="H18" s="44"/>
    </row>
    <row r="19" spans="1:8" ht="15" customHeight="1">
      <c r="B19" s="943" t="s">
        <v>70</v>
      </c>
      <c r="C19" s="944"/>
      <c r="D19" s="45">
        <v>38</v>
      </c>
      <c r="E19" s="45">
        <v>40</v>
      </c>
      <c r="F19" s="45">
        <v>39</v>
      </c>
      <c r="G19" s="45">
        <v>39</v>
      </c>
      <c r="H19" s="45">
        <v>38</v>
      </c>
    </row>
    <row r="20" spans="1:8" ht="15" customHeight="1">
      <c r="B20" s="737" t="s">
        <v>76</v>
      </c>
      <c r="C20" s="935"/>
      <c r="D20" s="42" t="e">
        <f>(IF(D11&lt;&gt;0,D19*$C$24)+IF(D12&lt;&gt;0,$C$25*D19)+IF(D13&lt;&gt;0,D19*$C$26)+IF(D14&lt;&gt;0,D19*$C$27)+IF(D15&lt;&gt;0,D19*$C$28)+IF(D16&lt;&gt;0,D19*$C$29)+IF(D17&lt;&gt;0,D19*$C$30)+IF(D18&lt;&gt;0,D19*$C$31))/60</f>
        <v>#VALUE!</v>
      </c>
      <c r="E20" s="42" t="e">
        <f>(IF(E11&lt;&gt;0,E19*$C$24)+IF(E12&lt;&gt;0,$C$25*E19)+IF(E13&lt;&gt;0,E19*$C$26)+IF(E14&lt;&gt;0,E19*$C$27)+IF(E15&lt;&gt;0,E19*$C$28)+IF(E16&lt;&gt;0,E19*$C$29)+IF(E17&lt;&gt;0,E19*$C$30)+IF(E18&lt;&gt;0,E19*$C$31))/60</f>
        <v>#VALUE!</v>
      </c>
      <c r="F20" s="42" t="e">
        <f>(IF(F11&lt;&gt;0,F19*$C$24)+IF(F12&lt;&gt;0,$C$25*F19)+IF(F13&lt;&gt;0,F19*$C$26)+IF(F14&lt;&gt;0,F19*$C$27)+IF(F15&lt;&gt;0,F19*$C$28)+IF(F16&lt;&gt;0,F19*$C$29)+IF(F17&lt;&gt;0,F19*$C$30)+IF(F18&lt;&gt;0,F19*$C$31))/60</f>
        <v>#VALUE!</v>
      </c>
      <c r="G20" s="42" t="e">
        <f>(IF(G11&lt;&gt;0,G19*$C$24)+IF(G12&lt;&gt;0,$C$25*G19)+IF(G13&lt;&gt;0,G19*$C$26)+IF(G14&lt;&gt;0,G19*$C$27)+IF(G15&lt;&gt;0,G19*$C$28)+IF(G16&lt;&gt;0,G19*$C$29)+IF(G17&lt;&gt;0,G19*$C$30)+IF(G18&lt;&gt;0,G19*$C$31))/60</f>
        <v>#VALUE!</v>
      </c>
      <c r="H20" s="42" t="e">
        <f>(IF(H11&lt;&gt;0,H19*$C$24)+IF(H12&lt;&gt;0,$C$25*H19)+IF(H13&lt;&gt;0,H19*$C$26)+IF(H14&lt;&gt;0,H19*$C$27)+IF(H15&lt;&gt;0,H19*$C$28)+IF(H16&lt;&gt;0,H19*$C$29)+IF(H17&lt;&gt;0,H19*$C$30)+IF(H18&lt;&gt;0,H19*$C$31))/60</f>
        <v>#VALUE!</v>
      </c>
    </row>
    <row r="21" spans="1:8" ht="15" customHeight="1">
      <c r="B21" s="1133" t="s">
        <v>69</v>
      </c>
      <c r="C21" s="1136" t="s">
        <v>61</v>
      </c>
      <c r="D21" s="1137"/>
      <c r="E21" s="1137"/>
      <c r="F21" s="1137"/>
      <c r="G21" s="1138"/>
      <c r="H21" s="42" t="e">
        <f>SUM(D20:H20)</f>
        <v>#VALUE!</v>
      </c>
    </row>
    <row r="22" spans="1:8" ht="15" customHeight="1">
      <c r="B22" s="1134"/>
      <c r="C22" s="1139" t="s">
        <v>64</v>
      </c>
      <c r="D22" s="1140"/>
      <c r="E22" s="1140"/>
      <c r="F22" s="1140"/>
      <c r="G22" s="1141"/>
      <c r="H22" s="45">
        <v>32</v>
      </c>
    </row>
    <row r="23" spans="1:8" ht="15" customHeight="1">
      <c r="B23" s="1134"/>
      <c r="C23" s="1139" t="s">
        <v>65</v>
      </c>
      <c r="D23" s="1140"/>
      <c r="E23" s="1140"/>
      <c r="F23" s="1140"/>
      <c r="G23" s="1141"/>
      <c r="H23" s="45">
        <v>12</v>
      </c>
    </row>
    <row r="24" spans="1:8" ht="15" customHeight="1">
      <c r="A24" s="1127"/>
      <c r="B24" s="1134"/>
      <c r="C24" s="1139" t="s">
        <v>66</v>
      </c>
      <c r="D24" s="1140"/>
      <c r="E24" s="1140"/>
      <c r="F24" s="1140"/>
      <c r="G24" s="1141"/>
      <c r="H24" s="45">
        <v>65</v>
      </c>
    </row>
    <row r="25" spans="1:8" ht="15" customHeight="1">
      <c r="A25" s="1127"/>
      <c r="B25" s="1135"/>
      <c r="C25" s="1136" t="s">
        <v>62</v>
      </c>
      <c r="D25" s="1137"/>
      <c r="E25" s="1137"/>
      <c r="F25" s="1137"/>
      <c r="G25" s="1138"/>
      <c r="H25" s="42" t="e">
        <f>SUM(H21:H24)</f>
        <v>#VALUE!</v>
      </c>
    </row>
    <row r="26" spans="1:8">
      <c r="A26" s="1127"/>
      <c r="B26" s="21" t="s">
        <v>13</v>
      </c>
      <c r="C26" s="22">
        <v>5</v>
      </c>
      <c r="D26" s="22">
        <v>8</v>
      </c>
      <c r="E26" s="25">
        <f>D26*C26</f>
        <v>40</v>
      </c>
    </row>
    <row r="27" spans="1:8" ht="17" thickBot="1">
      <c r="A27" s="1127"/>
      <c r="B27" s="27"/>
      <c r="C27" s="28"/>
      <c r="D27" s="28"/>
      <c r="E27" s="29"/>
    </row>
    <row r="28" spans="1:8" ht="17" thickBot="1">
      <c r="A28" s="1127"/>
    </row>
    <row r="29" spans="1:8" ht="17" thickBot="1">
      <c r="B29" s="17" t="s">
        <v>12</v>
      </c>
      <c r="C29" s="18" t="s">
        <v>11</v>
      </c>
      <c r="D29" s="18" t="s">
        <v>14</v>
      </c>
      <c r="E29" s="19" t="s">
        <v>15</v>
      </c>
    </row>
    <row r="30" spans="1:8">
      <c r="B30" s="21" t="s">
        <v>23</v>
      </c>
      <c r="C30" s="22">
        <v>1</v>
      </c>
      <c r="D30" s="22">
        <v>7</v>
      </c>
      <c r="E30" s="25">
        <f>D30*C30</f>
        <v>7</v>
      </c>
    </row>
    <row r="31" spans="1:8">
      <c r="B31" s="23" t="s">
        <v>18</v>
      </c>
      <c r="C31" s="24">
        <v>1</v>
      </c>
      <c r="D31" s="24">
        <v>8</v>
      </c>
      <c r="E31" s="25">
        <f>D31*C31</f>
        <v>8</v>
      </c>
    </row>
    <row r="32" spans="1:8" ht="17" thickBot="1">
      <c r="B32" s="27"/>
      <c r="C32" s="28"/>
      <c r="D32" s="28"/>
      <c r="E32" s="30">
        <f>D32*C32</f>
        <v>0</v>
      </c>
    </row>
    <row r="33" spans="1:5" ht="17" thickBot="1">
      <c r="B33" s="14" t="s">
        <v>21</v>
      </c>
      <c r="C33" s="15"/>
      <c r="D33" s="15"/>
      <c r="E33" s="16" t="e">
        <f>SUM(E10:E32)</f>
        <v>#VALUE!</v>
      </c>
    </row>
    <row r="35" spans="1:5" ht="22" thickBot="1">
      <c r="A35" s="1127"/>
      <c r="B35" s="12" t="s">
        <v>16</v>
      </c>
    </row>
    <row r="36" spans="1:5" ht="17" thickBot="1">
      <c r="A36" s="1127"/>
      <c r="B36" s="1144" t="s">
        <v>16</v>
      </c>
      <c r="C36" s="1145"/>
      <c r="D36" s="19" t="s">
        <v>20</v>
      </c>
    </row>
    <row r="37" spans="1:5">
      <c r="A37" s="1127"/>
      <c r="B37" s="1129" t="s">
        <v>17</v>
      </c>
      <c r="C37" s="1130"/>
      <c r="D37" s="25"/>
      <c r="E37" s="8"/>
    </row>
    <row r="38" spans="1:5">
      <c r="A38" s="1127"/>
      <c r="B38" s="1131" t="s">
        <v>19</v>
      </c>
      <c r="C38" s="1132"/>
      <c r="D38" s="26"/>
      <c r="E38" s="8"/>
    </row>
    <row r="39" spans="1:5">
      <c r="B39" s="1131" t="s">
        <v>22</v>
      </c>
      <c r="C39" s="1132"/>
      <c r="D39" s="26"/>
      <c r="E39" s="8"/>
    </row>
    <row r="40" spans="1:5">
      <c r="B40" s="1131"/>
      <c r="C40" s="1132"/>
      <c r="D40" s="26"/>
      <c r="E40" s="8"/>
    </row>
    <row r="41" spans="1:5">
      <c r="B41" s="1131"/>
      <c r="C41" s="1132"/>
      <c r="D41" s="26"/>
      <c r="E41" s="8"/>
    </row>
    <row r="42" spans="1:5">
      <c r="B42" s="1131"/>
      <c r="C42" s="1132"/>
      <c r="D42" s="26"/>
      <c r="E42" s="8"/>
    </row>
    <row r="43" spans="1:5">
      <c r="B43" s="1131"/>
      <c r="C43" s="1132"/>
      <c r="D43" s="26"/>
      <c r="E43" s="8"/>
    </row>
    <row r="44" spans="1:5">
      <c r="B44" s="1131"/>
      <c r="C44" s="1132"/>
      <c r="D44" s="26"/>
      <c r="E44" s="8"/>
    </row>
    <row r="45" spans="1:5">
      <c r="B45" s="1131"/>
      <c r="C45" s="1132"/>
      <c r="D45" s="26"/>
      <c r="E45" s="8"/>
    </row>
    <row r="46" spans="1:5">
      <c r="B46" s="1131"/>
      <c r="C46" s="1132"/>
      <c r="D46" s="26"/>
      <c r="E46" s="8"/>
    </row>
    <row r="47" spans="1:5">
      <c r="B47" s="1131"/>
      <c r="C47" s="1132"/>
      <c r="D47" s="26"/>
      <c r="E47" s="8"/>
    </row>
    <row r="48" spans="1:5">
      <c r="B48" s="1131"/>
      <c r="C48" s="1132"/>
      <c r="D48" s="26"/>
      <c r="E48" s="8"/>
    </row>
    <row r="49" spans="2:5">
      <c r="B49" s="1131"/>
      <c r="C49" s="1132"/>
      <c r="D49" s="26"/>
      <c r="E49" s="8"/>
    </row>
    <row r="50" spans="2:5">
      <c r="B50" s="1131"/>
      <c r="C50" s="1132"/>
      <c r="D50" s="26"/>
      <c r="E50" s="8"/>
    </row>
    <row r="51" spans="2:5" ht="17" thickBot="1">
      <c r="B51" s="1142"/>
      <c r="C51" s="1143"/>
      <c r="D51" s="29"/>
      <c r="E51" s="8"/>
    </row>
  </sheetData>
  <mergeCells count="32">
    <mergeCell ref="C24:G24"/>
    <mergeCell ref="C25:G25"/>
    <mergeCell ref="B49:C49"/>
    <mergeCell ref="B50:C50"/>
    <mergeCell ref="B51:C51"/>
    <mergeCell ref="B36:C36"/>
    <mergeCell ref="B44:C44"/>
    <mergeCell ref="B45:C45"/>
    <mergeCell ref="B46:C46"/>
    <mergeCell ref="B47:C47"/>
    <mergeCell ref="B48:C48"/>
    <mergeCell ref="B39:C39"/>
    <mergeCell ref="B40:C40"/>
    <mergeCell ref="B41:C41"/>
    <mergeCell ref="B42:C42"/>
    <mergeCell ref="B43:C43"/>
    <mergeCell ref="A24:A28"/>
    <mergeCell ref="A35:A38"/>
    <mergeCell ref="C2:E2"/>
    <mergeCell ref="C3:E3"/>
    <mergeCell ref="C4:E4"/>
    <mergeCell ref="B5:E5"/>
    <mergeCell ref="B37:C37"/>
    <mergeCell ref="B38:C38"/>
    <mergeCell ref="B8:H8"/>
    <mergeCell ref="B9:H9"/>
    <mergeCell ref="B19:C19"/>
    <mergeCell ref="B20:C20"/>
    <mergeCell ref="B21:B25"/>
    <mergeCell ref="C21:G21"/>
    <mergeCell ref="C22:G22"/>
    <mergeCell ref="C23:G23"/>
  </mergeCells>
  <phoneticPr fontId="5" type="noConversion"/>
  <pageMargins left="0.75" right="0.75" top="1" bottom="1" header="0.5" footer="0.5"/>
  <pageSetup paperSize="9" scale="85" orientation="portrait" horizontalDpi="4294967292" verticalDpi="4294967292"/>
  <rowBreaks count="2" manualBreakCount="2">
    <brk id="51" max="16383" man="1"/>
    <brk id="52" max="16383"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14</vt:i4>
      </vt:variant>
      <vt:variant>
        <vt:lpstr>Navngivne områder</vt:lpstr>
      </vt:variant>
      <vt:variant>
        <vt:i4>19</vt:i4>
      </vt:variant>
    </vt:vector>
  </HeadingPairs>
  <TitlesOfParts>
    <vt:vector size="33" baseType="lpstr">
      <vt:lpstr>Vejledning2019</vt:lpstr>
      <vt:lpstr>Maaned</vt:lpstr>
      <vt:lpstr>Aar</vt:lpstr>
      <vt:lpstr>1.halvaar</vt:lpstr>
      <vt:lpstr>2.halvaar</vt:lpstr>
      <vt:lpstr>Vejledning til arb.tidsoversigt</vt:lpstr>
      <vt:lpstr>Arbejdstidsoversigt</vt:lpstr>
      <vt:lpstr>Mødeplan</vt:lpstr>
      <vt:lpstr>Opgaveoversigt</vt:lpstr>
      <vt:lpstr>Aften-weekendtillæg</vt:lpstr>
      <vt:lpstr>Ulempe-weekendtillæg</vt:lpstr>
      <vt:lpstr>TOMT ÅR</vt:lpstr>
      <vt:lpstr>TOMT 1. HALVÅR</vt:lpstr>
      <vt:lpstr>TOMT 2. HALVÅR</vt:lpstr>
      <vt:lpstr>Maaned!april</vt:lpstr>
      <vt:lpstr>Maaned!august</vt:lpstr>
      <vt:lpstr>Maaned!december</vt:lpstr>
      <vt:lpstr>Maaned!februar</vt:lpstr>
      <vt:lpstr>Maaned!januar</vt:lpstr>
      <vt:lpstr>Maaned!juli</vt:lpstr>
      <vt:lpstr>Maaned!juni</vt:lpstr>
      <vt:lpstr>Maaned!maj</vt:lpstr>
      <vt:lpstr>Maaned!marts</vt:lpstr>
      <vt:lpstr>Maaned!november</vt:lpstr>
      <vt:lpstr>Maaned!oktober</vt:lpstr>
      <vt:lpstr>Maaned!september</vt:lpstr>
      <vt:lpstr>'1.halvaar'!Udskriftsområde</vt:lpstr>
      <vt:lpstr>'2.halvaar'!Udskriftsområde</vt:lpstr>
      <vt:lpstr>Arbejdstidsoversigt!Udskriftsområde</vt:lpstr>
      <vt:lpstr>Maaned!Udskriftsområde</vt:lpstr>
      <vt:lpstr>'Ulempe-weekendtillæg'!Udskriftsområde</vt:lpstr>
      <vt:lpstr>Vejledning2019!Udskriftsområde</vt:lpstr>
      <vt:lpstr>Aar!Udskriftsområde</vt:lpstr>
    </vt:vector>
  </TitlesOfParts>
  <Company>Dansk Friskoleforening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Troels Midtgaard</dc:creator>
  <cp:lastModifiedBy>Tove Dohn</cp:lastModifiedBy>
  <cp:lastPrinted>2019-04-23T15:43:54Z</cp:lastPrinted>
  <dcterms:created xsi:type="dcterms:W3CDTF">2014-04-09T06:24:54Z</dcterms:created>
  <dcterms:modified xsi:type="dcterms:W3CDTF">2019-04-29T13:58:50Z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NameForeign">
    <vt:lpwstr>ORG_Organisation</vt:lpwstr>
  </property>
  <property fmtid="{D5CDD505-2E9C-101B-9397-08002B2CF9AE}" pid="3" name="EntityId">
    <vt:lpwstr>317</vt:lpwstr>
  </property>
  <property fmtid="{D5CDD505-2E9C-101B-9397-08002B2CF9AE}" pid="4" name="DL_sAMAccountName">
    <vt:lpwstr>dftoje</vt:lpwstr>
  </property>
  <property fmtid="{D5CDD505-2E9C-101B-9397-08002B2CF9AE}" pid="5" name="DL_AuthorInitials">
    <vt:lpwstr>dftoje</vt:lpwstr>
  </property>
  <property fmtid="{D5CDD505-2E9C-101B-9397-08002B2CF9AE}" pid="6" name="fInit">
    <vt:lpwstr>dftoje</vt:lpwstr>
  </property>
  <property fmtid="{D5CDD505-2E9C-101B-9397-08002B2CF9AE}" pid="7" name="fNavn">
    <vt:lpwstr>Tove D Jensen</vt:lpwstr>
  </property>
  <property fmtid="{D5CDD505-2E9C-101B-9397-08002B2CF9AE}" pid="8" name="fEpost">
    <vt:lpwstr>tove@friskoler.dk</vt:lpwstr>
  </property>
  <property fmtid="{D5CDD505-2E9C-101B-9397-08002B2CF9AE}" pid="9" name="DL_Id">
    <vt:lpwstr>317</vt:lpwstr>
  </property>
  <property fmtid="{D5CDD505-2E9C-101B-9397-08002B2CF9AE}" pid="10" name="sOprettet">
    <vt:lpwstr>06-05-2015</vt:lpwstr>
  </property>
  <property fmtid="{D5CDD505-2E9C-101B-9397-08002B2CF9AE}" pid="11" name="sOprettetAf">
    <vt:lpwstr>test\test</vt:lpwstr>
  </property>
  <property fmtid="{D5CDD505-2E9C-101B-9397-08002B2CF9AE}" pid="12" name="sÆndret">
    <vt:lpwstr>06-05-2015</vt:lpwstr>
  </property>
  <property fmtid="{D5CDD505-2E9C-101B-9397-08002B2CF9AE}" pid="13" name="sÆndretAf">
    <vt:lpwstr>test\test</vt:lpwstr>
  </property>
  <property fmtid="{D5CDD505-2E9C-101B-9397-08002B2CF9AE}" pid="14" name="sKonto">
    <vt:lpwstr>              811007</vt:lpwstr>
  </property>
  <property fmtid="{D5CDD505-2E9C-101B-9397-08002B2CF9AE}" pid="15" name="sAktivitetsnr">
    <vt:lpwstr>811007</vt:lpwstr>
  </property>
  <property fmtid="{D5CDD505-2E9C-101B-9397-08002B2CF9AE}" pid="16" name="sNavn">
    <vt:lpwstr>Klim Friskole</vt:lpwstr>
  </property>
  <property fmtid="{D5CDD505-2E9C-101B-9397-08002B2CF9AE}" pid="17" name="sTitel">
    <vt:lpwstr>Klim Friskole</vt:lpwstr>
  </property>
  <property fmtid="{D5CDD505-2E9C-101B-9397-08002B2CF9AE}" pid="18" name="sGade">
    <vt:lpwstr>Oddevej 59
Klim</vt:lpwstr>
  </property>
  <property fmtid="{D5CDD505-2E9C-101B-9397-08002B2CF9AE}" pid="19" name="sPostnummer">
    <vt:lpwstr>9690</vt:lpwstr>
  </property>
  <property fmtid="{D5CDD505-2E9C-101B-9397-08002B2CF9AE}" pid="20" name="sBy">
    <vt:lpwstr>Fjerritslev</vt:lpwstr>
  </property>
  <property fmtid="{D5CDD505-2E9C-101B-9397-08002B2CF9AE}" pid="21" name="sTelefon">
    <vt:lpwstr>98 22 52 92</vt:lpwstr>
  </property>
  <property fmtid="{D5CDD505-2E9C-101B-9397-08002B2CF9AE}" pid="22" name="sFax">
    <vt:lpwstr/>
  </property>
  <property fmtid="{D5CDD505-2E9C-101B-9397-08002B2CF9AE}" pid="23" name="sCvrNummer">
    <vt:lpwstr/>
  </property>
  <property fmtid="{D5CDD505-2E9C-101B-9397-08002B2CF9AE}" pid="24" name="sAntalMedlemmer">
    <vt:lpwstr>28</vt:lpwstr>
  </property>
  <property fmtid="{D5CDD505-2E9C-101B-9397-08002B2CF9AE}" pid="25" name="sInteressentgruppe">
    <vt:lpwstr>Medlem af Dansk Friskoleforening</vt:lpwstr>
  </property>
  <property fmtid="{D5CDD505-2E9C-101B-9397-08002B2CF9AE}" pid="26" name="sSektion">
    <vt:lpwstr/>
  </property>
  <property fmtid="{D5CDD505-2E9C-101B-9397-08002B2CF9AE}" pid="27" name="sEjerform">
    <vt:lpwstr/>
  </property>
  <property fmtid="{D5CDD505-2E9C-101B-9397-08002B2CF9AE}" pid="28" name="sSelskabsform">
    <vt:lpwstr>0. - 9. klasse</vt:lpwstr>
  </property>
  <property fmtid="{D5CDD505-2E9C-101B-9397-08002B2CF9AE}" pid="29" name="sSagsbehandlernavn">
    <vt:lpwstr/>
  </property>
  <property fmtid="{D5CDD505-2E9C-101B-9397-08002B2CF9AE}" pid="30" name="sAfdeling">
    <vt:lpwstr/>
  </property>
  <property fmtid="{D5CDD505-2E9C-101B-9397-08002B2CF9AE}" pid="31" name="sStatus">
    <vt:lpwstr>0</vt:lpwstr>
  </property>
  <property fmtid="{D5CDD505-2E9C-101B-9397-08002B2CF9AE}" pid="32" name="sStatusDecode">
    <vt:lpwstr>Åben</vt:lpwstr>
  </property>
  <property fmtid="{D5CDD505-2E9C-101B-9397-08002B2CF9AE}" pid="33" name="sSidstÆndret">
    <vt:lpwstr>01-06-2015</vt:lpwstr>
  </property>
  <property fmtid="{D5CDD505-2E9C-101B-9397-08002B2CF9AE}" pid="34" name="sLastmodifiedby">
    <vt:lpwstr>CAMPHOSTING\dftoje</vt:lpwstr>
  </property>
</Properties>
</file>